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Transparencia\"/>
    </mc:Choice>
  </mc:AlternateContent>
  <xr:revisionPtr revIDLastSave="0" documentId="8_{6D71646E-A79D-47E3-B84A-1A6F3856CE4B}" xr6:coauthVersionLast="47" xr6:coauthVersionMax="47" xr10:uidLastSave="{00000000-0000-0000-0000-000000000000}"/>
  <bookViews>
    <workbookView xWindow="-120" yWindow="-120" windowWidth="20730" windowHeight="11160" firstSheet="3" activeTab="3" xr2:uid="{81D3AAB3-5AF8-41E7-9927-56FF0A5917D6}"/>
  </bookViews>
  <sheets>
    <sheet name="MAYO" sheetId="6" state="hidden" r:id="rId1"/>
    <sheet name="BC Balance Comprobación" sheetId="1" state="hidden" r:id="rId2"/>
    <sheet name=" ERF-Rendimiento Financiero" sheetId="2" r:id="rId3"/>
    <sheet name="EFE-Flujo de Efectivo" sheetId="4" r:id="rId4"/>
    <sheet name="ECANP-Cambio Patrimonio" sheetId="3" r:id="rId5"/>
  </sheets>
  <externalReferences>
    <externalReference r:id="rId6"/>
    <externalReference r:id="rId7"/>
    <externalReference r:id="rId8"/>
    <externalReference r:id="rId9"/>
    <externalReference r:id="rId10"/>
  </externalReferences>
  <definedNames>
    <definedName name="_xlnm._FilterDatabase" localSheetId="2" hidden="1">' ERF-Rendimiento Financiero'!$A$5:$K$35</definedName>
    <definedName name="_xlnm._FilterDatabase" localSheetId="1" hidden="1">'BC Balance Comprobación'!$A$11:$X$164</definedName>
    <definedName name="_xlnm._FilterDatabase" localSheetId="4" hidden="1">'ECANP-Cambio Patrimonio'!$C$7:$I$23</definedName>
    <definedName name="_xlnm._FilterDatabase" localSheetId="3" hidden="1">'EFE-Flujo de Efectivo'!$A$5:$H$66</definedName>
    <definedName name="_xlnm._FilterDatabase" localSheetId="0" hidden="1">MAYO!$A$3:$A$52</definedName>
    <definedName name="_xlnm.Print_Area" localSheetId="2">' ERF-Rendimiento Financiero'!$C$1:$H$47</definedName>
    <definedName name="_xlnm.Print_Area" localSheetId="1">'BC Balance Comprobación'!$C$5:$E$163</definedName>
    <definedName name="_xlnm.Print_Area" localSheetId="4">'ECANP-Cambio Patrimonio'!$A$1:$I$31</definedName>
    <definedName name="_xlnm.Print_Area" localSheetId="3">'EFE-Flujo de Efectivo'!$A$1:$I$73</definedName>
    <definedName name="MyExchangeRate">#REF!</definedName>
    <definedName name="_xlnm.Print_Titles" localSheetId="1">'BC Balance Comprobación'!$5:$11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9" i="4" l="1"/>
  <c r="H19" i="4" s="1"/>
  <c r="H20" i="3" l="1"/>
  <c r="F16" i="2" l="1"/>
  <c r="F15" i="2"/>
  <c r="F14" i="2"/>
  <c r="F9" i="2"/>
  <c r="F8" i="2"/>
  <c r="D32" i="1"/>
  <c r="D31" i="1"/>
  <c r="F17" i="2"/>
  <c r="F21" i="2" l="1"/>
  <c r="F8" i="6" l="1"/>
  <c r="C53" i="6"/>
  <c r="B53" i="6"/>
  <c r="D53" i="6" s="1"/>
  <c r="D52" i="6"/>
  <c r="D51" i="6"/>
  <c r="E49" i="6" s="1"/>
  <c r="D50" i="6"/>
  <c r="D49" i="6"/>
  <c r="D48" i="6"/>
  <c r="E48" i="6" s="1"/>
  <c r="D47" i="6"/>
  <c r="D46" i="6"/>
  <c r="D45" i="6"/>
  <c r="D44" i="6"/>
  <c r="D43" i="6"/>
  <c r="D42" i="6"/>
  <c r="D41" i="6"/>
  <c r="D40" i="6"/>
  <c r="D39" i="6"/>
  <c r="D38" i="6"/>
  <c r="D37" i="6"/>
  <c r="D36" i="6"/>
  <c r="D35" i="6"/>
  <c r="D34" i="6"/>
  <c r="D33" i="6"/>
  <c r="D32" i="6"/>
  <c r="D31" i="6"/>
  <c r="E30" i="6" s="1"/>
  <c r="F30" i="6" s="1"/>
  <c r="D30" i="6"/>
  <c r="D29" i="6"/>
  <c r="D28" i="6"/>
  <c r="D27" i="6"/>
  <c r="D26" i="6"/>
  <c r="D25" i="6"/>
  <c r="D24" i="6"/>
  <c r="D23" i="6"/>
  <c r="D22" i="6"/>
  <c r="D21" i="6"/>
  <c r="D20" i="6"/>
  <c r="D19" i="6"/>
  <c r="D18" i="6"/>
  <c r="D17" i="6"/>
  <c r="D16" i="6"/>
  <c r="E15" i="6" s="1"/>
  <c r="D15" i="6"/>
  <c r="D14" i="6"/>
  <c r="D13" i="6"/>
  <c r="E12" i="6" s="1"/>
  <c r="D12" i="6"/>
  <c r="D11" i="6"/>
  <c r="D10" i="6"/>
  <c r="D9" i="6"/>
  <c r="D8" i="6"/>
  <c r="D7" i="6"/>
  <c r="D6" i="6"/>
  <c r="D5" i="6"/>
  <c r="D4" i="6"/>
  <c r="E4" i="6" s="1"/>
  <c r="E53" i="6" l="1"/>
  <c r="H62" i="4" l="1"/>
  <c r="D61" i="4"/>
  <c r="L59" i="4"/>
  <c r="K59" i="4"/>
  <c r="J59" i="4"/>
  <c r="I59" i="4"/>
  <c r="G59" i="4"/>
  <c r="F59" i="4"/>
  <c r="E59" i="4"/>
  <c r="H58" i="4"/>
  <c r="H57" i="4"/>
  <c r="H55" i="4"/>
  <c r="H53" i="4"/>
  <c r="H51" i="4"/>
  <c r="H50" i="4"/>
  <c r="H49" i="4"/>
  <c r="H48" i="4"/>
  <c r="M47" i="4"/>
  <c r="H47" i="4"/>
  <c r="H46" i="4"/>
  <c r="L44" i="4"/>
  <c r="K44" i="4"/>
  <c r="J44" i="4"/>
  <c r="I44" i="4"/>
  <c r="G44" i="4"/>
  <c r="F44" i="4"/>
  <c r="E44" i="4"/>
  <c r="H42" i="4"/>
  <c r="H41" i="4"/>
  <c r="H40" i="4"/>
  <c r="H39" i="4"/>
  <c r="H38" i="4"/>
  <c r="H37" i="4"/>
  <c r="H34" i="4"/>
  <c r="H33" i="4"/>
  <c r="H32" i="4"/>
  <c r="H31" i="4"/>
  <c r="H30" i="4"/>
  <c r="H29" i="4"/>
  <c r="L26" i="4"/>
  <c r="K26" i="4"/>
  <c r="K61" i="4" s="1"/>
  <c r="K63" i="4" s="1"/>
  <c r="J26" i="4"/>
  <c r="G26" i="4"/>
  <c r="F26" i="4"/>
  <c r="H23" i="4"/>
  <c r="H22" i="4"/>
  <c r="H21" i="4"/>
  <c r="M20" i="4"/>
  <c r="M18" i="4"/>
  <c r="M17" i="4"/>
  <c r="H16" i="4"/>
  <c r="M14" i="4"/>
  <c r="E14" i="4"/>
  <c r="H14" i="4" s="1"/>
  <c r="H13" i="4"/>
  <c r="H12" i="4"/>
  <c r="H11" i="4"/>
  <c r="O10" i="4"/>
  <c r="I10" i="4"/>
  <c r="E10" i="4"/>
  <c r="I9" i="4"/>
  <c r="M9" i="4" s="1"/>
  <c r="E9" i="4"/>
  <c r="H8" i="4"/>
  <c r="H7" i="4"/>
  <c r="E5" i="4"/>
  <c r="C5" i="4"/>
  <c r="A3" i="4"/>
  <c r="A1" i="4"/>
  <c r="E20" i="3"/>
  <c r="H18" i="3"/>
  <c r="H17" i="3"/>
  <c r="H16" i="3"/>
  <c r="H15" i="3"/>
  <c r="G13" i="3"/>
  <c r="F13" i="3"/>
  <c r="F20" i="3" s="1"/>
  <c r="E13" i="3"/>
  <c r="D13" i="3"/>
  <c r="D14" i="3" s="1"/>
  <c r="H12" i="3"/>
  <c r="H9" i="3"/>
  <c r="H8" i="3"/>
  <c r="H13" i="3" s="1"/>
  <c r="H32" i="2"/>
  <c r="F32" i="2"/>
  <c r="K32" i="2" s="1"/>
  <c r="K31" i="2"/>
  <c r="K30" i="2"/>
  <c r="K29" i="2"/>
  <c r="K25" i="2"/>
  <c r="K24" i="2"/>
  <c r="K23" i="2"/>
  <c r="K22" i="2"/>
  <c r="H20" i="2"/>
  <c r="F20" i="2"/>
  <c r="H19" i="2"/>
  <c r="F19" i="2"/>
  <c r="H18" i="2"/>
  <c r="F18" i="2"/>
  <c r="H17" i="2"/>
  <c r="K17" i="2" s="1"/>
  <c r="H16" i="2"/>
  <c r="H15" i="2"/>
  <c r="K15" i="2" s="1"/>
  <c r="H14" i="2"/>
  <c r="H21" i="2" s="1"/>
  <c r="H10" i="2"/>
  <c r="K10" i="2" s="1"/>
  <c r="H9" i="2"/>
  <c r="K9" i="2" s="1"/>
  <c r="H8" i="2"/>
  <c r="K8" i="2" s="1"/>
  <c r="H7" i="2"/>
  <c r="H11" i="2" s="1"/>
  <c r="F7" i="2"/>
  <c r="H5" i="2"/>
  <c r="C3" i="2"/>
  <c r="C1" i="2"/>
  <c r="V180" i="1"/>
  <c r="V179" i="1"/>
  <c r="V178" i="1"/>
  <c r="V177" i="1"/>
  <c r="V176" i="1"/>
  <c r="V175" i="1"/>
  <c r="V174" i="1"/>
  <c r="V173" i="1"/>
  <c r="I173" i="1"/>
  <c r="V172" i="1"/>
  <c r="I172" i="1"/>
  <c r="V171" i="1"/>
  <c r="I171" i="1"/>
  <c r="V170" i="1"/>
  <c r="I170" i="1"/>
  <c r="V169" i="1"/>
  <c r="I169" i="1"/>
  <c r="V168" i="1"/>
  <c r="I168" i="1"/>
  <c r="V167" i="1"/>
  <c r="I167" i="1"/>
  <c r="V166" i="1"/>
  <c r="I166" i="1"/>
  <c r="V165" i="1"/>
  <c r="T165" i="1"/>
  <c r="I165" i="1"/>
  <c r="M164" i="1"/>
  <c r="J164" i="1"/>
  <c r="I164" i="1"/>
  <c r="T163" i="1"/>
  <c r="I163" i="1"/>
  <c r="E163" i="1"/>
  <c r="L162" i="1"/>
  <c r="I162" i="1"/>
  <c r="H162" i="1"/>
  <c r="L161" i="1"/>
  <c r="I161" i="1"/>
  <c r="H161" i="1"/>
  <c r="L160" i="1"/>
  <c r="I160" i="1"/>
  <c r="H160" i="1"/>
  <c r="L159" i="1"/>
  <c r="I159" i="1"/>
  <c r="M159" i="1" s="1"/>
  <c r="H159" i="1"/>
  <c r="M158" i="1"/>
  <c r="V158" i="1" s="1"/>
  <c r="L158" i="1"/>
  <c r="I158" i="1"/>
  <c r="H158" i="1"/>
  <c r="L157" i="1"/>
  <c r="I157" i="1"/>
  <c r="H157" i="1"/>
  <c r="N156" i="1"/>
  <c r="T156" i="1" s="1"/>
  <c r="M156" i="1"/>
  <c r="V156" i="1" s="1"/>
  <c r="L156" i="1"/>
  <c r="I156" i="1"/>
  <c r="H156" i="1"/>
  <c r="T155" i="1"/>
  <c r="L155" i="1"/>
  <c r="I155" i="1"/>
  <c r="M155" i="1" s="1"/>
  <c r="W155" i="1" s="1"/>
  <c r="L154" i="1"/>
  <c r="I154" i="1"/>
  <c r="T153" i="1"/>
  <c r="L153" i="1"/>
  <c r="I153" i="1"/>
  <c r="Z152" i="1"/>
  <c r="L152" i="1"/>
  <c r="I152" i="1"/>
  <c r="M152" i="1" s="1"/>
  <c r="H152" i="1"/>
  <c r="Z151" i="1"/>
  <c r="L151" i="1"/>
  <c r="I151" i="1"/>
  <c r="M151" i="1" s="1"/>
  <c r="H151" i="1"/>
  <c r="Z150" i="1"/>
  <c r="L150" i="1"/>
  <c r="I150" i="1"/>
  <c r="M150" i="1" s="1"/>
  <c r="H150" i="1"/>
  <c r="Z149" i="1"/>
  <c r="L149" i="1"/>
  <c r="I149" i="1"/>
  <c r="M149" i="1" s="1"/>
  <c r="H149" i="1"/>
  <c r="Z148" i="1"/>
  <c r="L148" i="1"/>
  <c r="I148" i="1"/>
  <c r="M148" i="1" s="1"/>
  <c r="H148" i="1"/>
  <c r="Z147" i="1"/>
  <c r="L147" i="1"/>
  <c r="I147" i="1"/>
  <c r="M147" i="1" s="1"/>
  <c r="H147" i="1"/>
  <c r="Z146" i="1"/>
  <c r="L146" i="1"/>
  <c r="I146" i="1"/>
  <c r="M146" i="1" s="1"/>
  <c r="H146" i="1"/>
  <c r="Z145" i="1"/>
  <c r="L145" i="1"/>
  <c r="I145" i="1"/>
  <c r="H145" i="1"/>
  <c r="Z144" i="1"/>
  <c r="L144" i="1"/>
  <c r="I144" i="1"/>
  <c r="M144" i="1" s="1"/>
  <c r="H144" i="1"/>
  <c r="Z143" i="1"/>
  <c r="L143" i="1"/>
  <c r="I143" i="1"/>
  <c r="M143" i="1" s="1"/>
  <c r="Z142" i="1"/>
  <c r="L142" i="1"/>
  <c r="I142" i="1"/>
  <c r="H142" i="1"/>
  <c r="Z141" i="1"/>
  <c r="L141" i="1"/>
  <c r="I141" i="1"/>
  <c r="H141" i="1"/>
  <c r="Z140" i="1"/>
  <c r="L140" i="1"/>
  <c r="M140" i="1" s="1"/>
  <c r="I140" i="1"/>
  <c r="H140" i="1"/>
  <c r="Z139" i="1"/>
  <c r="L139" i="1"/>
  <c r="I139" i="1"/>
  <c r="Z138" i="1"/>
  <c r="L138" i="1"/>
  <c r="I138" i="1"/>
  <c r="H138" i="1"/>
  <c r="Z137" i="1"/>
  <c r="L137" i="1"/>
  <c r="I137" i="1"/>
  <c r="H137" i="1"/>
  <c r="Z136" i="1"/>
  <c r="L136" i="1"/>
  <c r="I136" i="1"/>
  <c r="H136" i="1"/>
  <c r="Z135" i="1"/>
  <c r="M135" i="1"/>
  <c r="V135" i="1" s="1"/>
  <c r="L135" i="1"/>
  <c r="I135" i="1"/>
  <c r="H135" i="1"/>
  <c r="Z134" i="1"/>
  <c r="L134" i="1"/>
  <c r="I134" i="1"/>
  <c r="H134" i="1"/>
  <c r="Z133" i="1"/>
  <c r="L133" i="1"/>
  <c r="I133" i="1"/>
  <c r="H133" i="1"/>
  <c r="Z132" i="1"/>
  <c r="L132" i="1"/>
  <c r="M132" i="1" s="1"/>
  <c r="Z131" i="1"/>
  <c r="L131" i="1"/>
  <c r="I131" i="1"/>
  <c r="M131" i="1" s="1"/>
  <c r="H131" i="1"/>
  <c r="Z130" i="1"/>
  <c r="L130" i="1"/>
  <c r="I130" i="1"/>
  <c r="M130" i="1" s="1"/>
  <c r="H130" i="1"/>
  <c r="Z129" i="1"/>
  <c r="L129" i="1"/>
  <c r="M129" i="1" s="1"/>
  <c r="V129" i="1" s="1"/>
  <c r="I129" i="1"/>
  <c r="H129" i="1"/>
  <c r="Z128" i="1"/>
  <c r="L128" i="1"/>
  <c r="I128" i="1"/>
  <c r="M128" i="1" s="1"/>
  <c r="H128" i="1"/>
  <c r="Z127" i="1"/>
  <c r="L127" i="1"/>
  <c r="I127" i="1"/>
  <c r="M127" i="1" s="1"/>
  <c r="H127" i="1"/>
  <c r="Z126" i="1"/>
  <c r="L126" i="1"/>
  <c r="I126" i="1"/>
  <c r="M126" i="1" s="1"/>
  <c r="H126" i="1"/>
  <c r="Z125" i="1"/>
  <c r="L125" i="1"/>
  <c r="I125" i="1"/>
  <c r="M125" i="1" s="1"/>
  <c r="V125" i="1" s="1"/>
  <c r="H125" i="1"/>
  <c r="Z124" i="1"/>
  <c r="M124" i="1"/>
  <c r="V124" i="1" s="1"/>
  <c r="L124" i="1"/>
  <c r="I124" i="1"/>
  <c r="H124" i="1"/>
  <c r="Z123" i="1"/>
  <c r="L123" i="1"/>
  <c r="I123" i="1"/>
  <c r="M123" i="1" s="1"/>
  <c r="H123" i="1"/>
  <c r="Z122" i="1"/>
  <c r="L122" i="1"/>
  <c r="M122" i="1" s="1"/>
  <c r="Z121" i="1"/>
  <c r="L121" i="1"/>
  <c r="I121" i="1"/>
  <c r="M121" i="1" s="1"/>
  <c r="H121" i="1"/>
  <c r="Z120" i="1"/>
  <c r="L120" i="1"/>
  <c r="I120" i="1"/>
  <c r="M120" i="1" s="1"/>
  <c r="H120" i="1"/>
  <c r="Z119" i="1"/>
  <c r="L119" i="1"/>
  <c r="M119" i="1" s="1"/>
  <c r="V119" i="1" s="1"/>
  <c r="I119" i="1"/>
  <c r="H119" i="1"/>
  <c r="Z118" i="1"/>
  <c r="L118" i="1"/>
  <c r="I118" i="1"/>
  <c r="M118" i="1" s="1"/>
  <c r="H118" i="1"/>
  <c r="Z117" i="1"/>
  <c r="L117" i="1"/>
  <c r="I117" i="1"/>
  <c r="M117" i="1" s="1"/>
  <c r="H117" i="1"/>
  <c r="Z116" i="1"/>
  <c r="L116" i="1"/>
  <c r="M116" i="1" s="1"/>
  <c r="Z115" i="1"/>
  <c r="L115" i="1"/>
  <c r="I115" i="1"/>
  <c r="H115" i="1"/>
  <c r="Z114" i="1"/>
  <c r="L114" i="1"/>
  <c r="I114" i="1"/>
  <c r="M114" i="1" s="1"/>
  <c r="H114" i="1"/>
  <c r="Z113" i="1"/>
  <c r="L113" i="1"/>
  <c r="I113" i="1"/>
  <c r="H113" i="1"/>
  <c r="Z112" i="1"/>
  <c r="M112" i="1"/>
  <c r="V112" i="1" s="1"/>
  <c r="L112" i="1"/>
  <c r="I112" i="1"/>
  <c r="H112" i="1"/>
  <c r="Z111" i="1"/>
  <c r="L111" i="1"/>
  <c r="M111" i="1" s="1"/>
  <c r="Z110" i="1"/>
  <c r="L110" i="1"/>
  <c r="M110" i="1" s="1"/>
  <c r="I110" i="1"/>
  <c r="H110" i="1"/>
  <c r="Z109" i="1"/>
  <c r="L109" i="1"/>
  <c r="I109" i="1"/>
  <c r="H109" i="1"/>
  <c r="Z108" i="1"/>
  <c r="M108" i="1"/>
  <c r="L108" i="1"/>
  <c r="I108" i="1"/>
  <c r="H108" i="1"/>
  <c r="Z107" i="1"/>
  <c r="L107" i="1"/>
  <c r="M107" i="1" s="1"/>
  <c r="Z106" i="1"/>
  <c r="O106" i="1"/>
  <c r="N106" i="1"/>
  <c r="L106" i="1"/>
  <c r="I106" i="1"/>
  <c r="M106" i="1" s="1"/>
  <c r="H106" i="1"/>
  <c r="Z105" i="1"/>
  <c r="L105" i="1"/>
  <c r="I105" i="1"/>
  <c r="H105" i="1"/>
  <c r="Z104" i="1"/>
  <c r="M104" i="1"/>
  <c r="L104" i="1"/>
  <c r="Z103" i="1"/>
  <c r="L103" i="1"/>
  <c r="M103" i="1" s="1"/>
  <c r="L102" i="1"/>
  <c r="M102" i="1" s="1"/>
  <c r="N102" i="1" s="1"/>
  <c r="I102" i="1"/>
  <c r="H102" i="1"/>
  <c r="L101" i="1"/>
  <c r="I101" i="1"/>
  <c r="M101" i="1" s="1"/>
  <c r="H101" i="1"/>
  <c r="L100" i="1"/>
  <c r="I100" i="1"/>
  <c r="H100" i="1"/>
  <c r="L99" i="1"/>
  <c r="I99" i="1"/>
  <c r="H99" i="1"/>
  <c r="L98" i="1"/>
  <c r="I98" i="1"/>
  <c r="H98" i="1"/>
  <c r="L97" i="1"/>
  <c r="I97" i="1"/>
  <c r="M97" i="1" s="1"/>
  <c r="H97" i="1"/>
  <c r="M96" i="1"/>
  <c r="O96" i="1" s="1"/>
  <c r="L96" i="1"/>
  <c r="I96" i="1"/>
  <c r="H96" i="1"/>
  <c r="L95" i="1"/>
  <c r="I95" i="1"/>
  <c r="H95" i="1"/>
  <c r="L94" i="1"/>
  <c r="I94" i="1"/>
  <c r="M94" i="1" s="1"/>
  <c r="N94" i="1" s="1"/>
  <c r="H94" i="1"/>
  <c r="M93" i="1"/>
  <c r="L93" i="1"/>
  <c r="I93" i="1"/>
  <c r="H93" i="1"/>
  <c r="M92" i="1"/>
  <c r="N92" i="1" s="1"/>
  <c r="L92" i="1"/>
  <c r="I92" i="1"/>
  <c r="H92" i="1"/>
  <c r="L91" i="1"/>
  <c r="M91" i="1" s="1"/>
  <c r="N91" i="1" s="1"/>
  <c r="X91" i="1" s="1"/>
  <c r="L90" i="1"/>
  <c r="M90" i="1" s="1"/>
  <c r="I90" i="1"/>
  <c r="H90" i="1"/>
  <c r="L89" i="1"/>
  <c r="M89" i="1" s="1"/>
  <c r="I89" i="1"/>
  <c r="H89" i="1"/>
  <c r="L88" i="1"/>
  <c r="I88" i="1"/>
  <c r="M88" i="1" s="1"/>
  <c r="O88" i="1" s="1"/>
  <c r="H88" i="1"/>
  <c r="L87" i="1"/>
  <c r="I87" i="1"/>
  <c r="H87" i="1"/>
  <c r="L86" i="1"/>
  <c r="I86" i="1"/>
  <c r="M86" i="1" s="1"/>
  <c r="H86" i="1"/>
  <c r="L85" i="1"/>
  <c r="I85" i="1"/>
  <c r="M85" i="1" s="1"/>
  <c r="V85" i="1" s="1"/>
  <c r="H85" i="1"/>
  <c r="L84" i="1"/>
  <c r="M84" i="1" s="1"/>
  <c r="N84" i="1" s="1"/>
  <c r="X84" i="1" s="1"/>
  <c r="L83" i="1"/>
  <c r="I83" i="1"/>
  <c r="H83" i="1"/>
  <c r="L82" i="1"/>
  <c r="I82" i="1"/>
  <c r="H82" i="1"/>
  <c r="L81" i="1"/>
  <c r="M81" i="1" s="1"/>
  <c r="L80" i="1"/>
  <c r="I80" i="1"/>
  <c r="H80" i="1"/>
  <c r="L79" i="1"/>
  <c r="I79" i="1"/>
  <c r="H79" i="1"/>
  <c r="L78" i="1"/>
  <c r="I78" i="1"/>
  <c r="H78" i="1"/>
  <c r="L77" i="1"/>
  <c r="M77" i="1" s="1"/>
  <c r="O77" i="1" s="1"/>
  <c r="L76" i="1"/>
  <c r="I76" i="1"/>
  <c r="M76" i="1" s="1"/>
  <c r="H76" i="1"/>
  <c r="L75" i="1"/>
  <c r="I75" i="1"/>
  <c r="M75" i="1" s="1"/>
  <c r="H75" i="1"/>
  <c r="L74" i="1"/>
  <c r="M74" i="1" s="1"/>
  <c r="N74" i="1" s="1"/>
  <c r="L73" i="1"/>
  <c r="M73" i="1" s="1"/>
  <c r="I73" i="1"/>
  <c r="H73" i="1"/>
  <c r="L72" i="1"/>
  <c r="I72" i="1"/>
  <c r="H72" i="1"/>
  <c r="L71" i="1"/>
  <c r="M71" i="1" s="1"/>
  <c r="N71" i="1" s="1"/>
  <c r="M70" i="1"/>
  <c r="O70" i="1" s="1"/>
  <c r="L70" i="1"/>
  <c r="I70" i="1"/>
  <c r="H70" i="1"/>
  <c r="L69" i="1"/>
  <c r="I69" i="1"/>
  <c r="H69" i="1"/>
  <c r="O68" i="1"/>
  <c r="N68" i="1"/>
  <c r="X68" i="1" s="1"/>
  <c r="L68" i="1"/>
  <c r="M68" i="1" s="1"/>
  <c r="L67" i="1"/>
  <c r="I67" i="1"/>
  <c r="M67" i="1" s="1"/>
  <c r="H67" i="1"/>
  <c r="L66" i="1"/>
  <c r="I66" i="1"/>
  <c r="M66" i="1" s="1"/>
  <c r="O66" i="1" s="1"/>
  <c r="H66" i="1"/>
  <c r="L65" i="1"/>
  <c r="I65" i="1"/>
  <c r="M65" i="1" s="1"/>
  <c r="N65" i="1" s="1"/>
  <c r="V65" i="1" s="1"/>
  <c r="H65" i="1"/>
  <c r="L64" i="1"/>
  <c r="I64" i="1"/>
  <c r="M64" i="1" s="1"/>
  <c r="O64" i="1" s="1"/>
  <c r="H64" i="1"/>
  <c r="L63" i="1"/>
  <c r="I63" i="1"/>
  <c r="M63" i="1" s="1"/>
  <c r="H63" i="1"/>
  <c r="L62" i="1"/>
  <c r="M62" i="1" s="1"/>
  <c r="O62" i="1" s="1"/>
  <c r="L61" i="1"/>
  <c r="M61" i="1" s="1"/>
  <c r="L60" i="1"/>
  <c r="M60" i="1" s="1"/>
  <c r="I60" i="1"/>
  <c r="H60" i="1"/>
  <c r="L59" i="1"/>
  <c r="I59" i="1"/>
  <c r="H59" i="1"/>
  <c r="L58" i="1"/>
  <c r="I58" i="1"/>
  <c r="M58" i="1" s="1"/>
  <c r="H58" i="1"/>
  <c r="L57" i="1"/>
  <c r="M57" i="1" s="1"/>
  <c r="L56" i="1"/>
  <c r="I56" i="1"/>
  <c r="H56" i="1"/>
  <c r="L55" i="1"/>
  <c r="M55" i="1" s="1"/>
  <c r="L54" i="1"/>
  <c r="I54" i="1"/>
  <c r="H54" i="1"/>
  <c r="L53" i="1"/>
  <c r="I53" i="1"/>
  <c r="M53" i="1" s="1"/>
  <c r="H53" i="1"/>
  <c r="L52" i="1"/>
  <c r="M52" i="1" s="1"/>
  <c r="I52" i="1"/>
  <c r="H52" i="1"/>
  <c r="L51" i="1"/>
  <c r="M51" i="1" s="1"/>
  <c r="L50" i="1"/>
  <c r="I50" i="1"/>
  <c r="M50" i="1" s="1"/>
  <c r="H50" i="1"/>
  <c r="L49" i="1"/>
  <c r="I49" i="1"/>
  <c r="M49" i="1" s="1"/>
  <c r="H49" i="1"/>
  <c r="L48" i="1"/>
  <c r="I48" i="1"/>
  <c r="H48" i="1"/>
  <c r="L47" i="1"/>
  <c r="I47" i="1"/>
  <c r="H47" i="1"/>
  <c r="L46" i="1"/>
  <c r="I46" i="1"/>
  <c r="H46" i="1"/>
  <c r="L45" i="1"/>
  <c r="I45" i="1"/>
  <c r="M45" i="1" s="1"/>
  <c r="H45" i="1"/>
  <c r="M44" i="1"/>
  <c r="S44" i="1" s="1"/>
  <c r="X44" i="1" s="1"/>
  <c r="S43" i="1"/>
  <c r="X43" i="1" s="1"/>
  <c r="M43" i="1"/>
  <c r="O43" i="1" s="1"/>
  <c r="R43" i="1" s="1"/>
  <c r="M42" i="1"/>
  <c r="O42" i="1" s="1"/>
  <c r="M41" i="1"/>
  <c r="L41" i="1"/>
  <c r="I40" i="1"/>
  <c r="M40" i="1" s="1"/>
  <c r="H40" i="1"/>
  <c r="L38" i="1"/>
  <c r="I38" i="1"/>
  <c r="L37" i="1"/>
  <c r="I37" i="1"/>
  <c r="M37" i="1" s="1"/>
  <c r="I36" i="1"/>
  <c r="M36" i="1" s="1"/>
  <c r="I35" i="1"/>
  <c r="M35" i="1" s="1"/>
  <c r="I34" i="1"/>
  <c r="M34" i="1" s="1"/>
  <c r="O34" i="1" s="1"/>
  <c r="H34" i="1"/>
  <c r="L33" i="1"/>
  <c r="H33" i="1"/>
  <c r="L32" i="1"/>
  <c r="H32" i="1"/>
  <c r="I32" i="1"/>
  <c r="L31" i="1"/>
  <c r="I31" i="1"/>
  <c r="M31" i="1" s="1"/>
  <c r="S30" i="1"/>
  <c r="O30" i="1"/>
  <c r="R30" i="1" s="1"/>
  <c r="M30" i="1"/>
  <c r="S29" i="1"/>
  <c r="O29" i="1"/>
  <c r="R29" i="1" s="1"/>
  <c r="M29" i="1"/>
  <c r="F29" i="1"/>
  <c r="L28" i="1"/>
  <c r="I28" i="1"/>
  <c r="M28" i="1" s="1"/>
  <c r="H28" i="1"/>
  <c r="F28" i="1"/>
  <c r="I27" i="1"/>
  <c r="M27" i="1" s="1"/>
  <c r="H27" i="1"/>
  <c r="F27" i="1"/>
  <c r="M26" i="1"/>
  <c r="S26" i="1" s="1"/>
  <c r="M25" i="1"/>
  <c r="S25" i="1" s="1"/>
  <c r="I24" i="1"/>
  <c r="M24" i="1" s="1"/>
  <c r="H24" i="1"/>
  <c r="I23" i="1"/>
  <c r="M23" i="1" s="1"/>
  <c r="H23" i="1"/>
  <c r="F23" i="1"/>
  <c r="E23" i="1"/>
  <c r="P22" i="1"/>
  <c r="I22" i="1"/>
  <c r="H22" i="1"/>
  <c r="E22" i="1"/>
  <c r="L22" i="1" s="1"/>
  <c r="L21" i="1"/>
  <c r="I21" i="1"/>
  <c r="M21" i="1" s="1"/>
  <c r="N21" i="1" s="1"/>
  <c r="H21" i="1"/>
  <c r="P20" i="1"/>
  <c r="I20" i="1"/>
  <c r="M20" i="1" s="1"/>
  <c r="L19" i="1"/>
  <c r="I19" i="1"/>
  <c r="M19" i="1" s="1"/>
  <c r="H19" i="1"/>
  <c r="I18" i="1"/>
  <c r="H18" i="1"/>
  <c r="M17" i="1"/>
  <c r="S17" i="1" s="1"/>
  <c r="S16" i="1"/>
  <c r="R16" i="1"/>
  <c r="G16" i="1"/>
  <c r="S15" i="1"/>
  <c r="R15" i="1"/>
  <c r="M15" i="1"/>
  <c r="L14" i="1"/>
  <c r="I14" i="1"/>
  <c r="S13" i="1"/>
  <c r="R13" i="1"/>
  <c r="G13" i="1"/>
  <c r="G14" i="1" s="1"/>
  <c r="S12" i="1"/>
  <c r="R12" i="1"/>
  <c r="K2" i="1"/>
  <c r="J2" i="1"/>
  <c r="E2" i="1"/>
  <c r="D2" i="1"/>
  <c r="F61" i="4" l="1"/>
  <c r="L61" i="4"/>
  <c r="L63" i="4" s="1"/>
  <c r="G61" i="4"/>
  <c r="G63" i="4" s="1"/>
  <c r="H56" i="4" s="1"/>
  <c r="H44" i="4"/>
  <c r="J61" i="4"/>
  <c r="J63" i="4" s="1"/>
  <c r="M66" i="4" s="1"/>
  <c r="O103" i="1"/>
  <c r="N103" i="1"/>
  <c r="V103" i="1" s="1"/>
  <c r="V118" i="1"/>
  <c r="N118" i="1"/>
  <c r="N51" i="1"/>
  <c r="S51" i="1"/>
  <c r="O51" i="1"/>
  <c r="V114" i="1"/>
  <c r="N114" i="1"/>
  <c r="V128" i="1"/>
  <c r="N128" i="1"/>
  <c r="X128" i="1" s="1"/>
  <c r="M153" i="1"/>
  <c r="M157" i="1"/>
  <c r="X165" i="1"/>
  <c r="O26" i="1"/>
  <c r="R26" i="1" s="1"/>
  <c r="M46" i="1"/>
  <c r="N46" i="1" s="1"/>
  <c r="M78" i="1"/>
  <c r="O78" i="1" s="1"/>
  <c r="M79" i="1"/>
  <c r="M80" i="1"/>
  <c r="M82" i="1"/>
  <c r="M83" i="1"/>
  <c r="N83" i="1" s="1"/>
  <c r="R83" i="1" s="1"/>
  <c r="M87" i="1"/>
  <c r="N87" i="1" s="1"/>
  <c r="M95" i="1"/>
  <c r="N96" i="1"/>
  <c r="N104" i="1"/>
  <c r="N112" i="1"/>
  <c r="X112" i="1" s="1"/>
  <c r="N124" i="1"/>
  <c r="X124" i="1" s="1"/>
  <c r="O25" i="1"/>
  <c r="R25" i="1" s="1"/>
  <c r="S42" i="1"/>
  <c r="X42" i="1" s="1"/>
  <c r="O44" i="1"/>
  <c r="R44" i="1" s="1"/>
  <c r="M56" i="1"/>
  <c r="O56" i="1" s="1"/>
  <c r="O71" i="1"/>
  <c r="R71" i="1" s="1"/>
  <c r="N75" i="1"/>
  <c r="V75" i="1" s="1"/>
  <c r="O104" i="1"/>
  <c r="M133" i="1"/>
  <c r="M134" i="1"/>
  <c r="M139" i="1"/>
  <c r="M141" i="1"/>
  <c r="M142" i="1"/>
  <c r="M145" i="1"/>
  <c r="W156" i="1"/>
  <c r="N158" i="1"/>
  <c r="T158" i="1" s="1"/>
  <c r="M162" i="1"/>
  <c r="N164" i="1"/>
  <c r="X164" i="1" s="1"/>
  <c r="K3" i="1"/>
  <c r="M32" i="1"/>
  <c r="O32" i="1" s="1"/>
  <c r="M38" i="1"/>
  <c r="S38" i="1" s="1"/>
  <c r="M47" i="1"/>
  <c r="S47" i="1" s="1"/>
  <c r="M48" i="1"/>
  <c r="M69" i="1"/>
  <c r="N69" i="1" s="1"/>
  <c r="O75" i="1"/>
  <c r="M99" i="1"/>
  <c r="O99" i="1" s="1"/>
  <c r="M100" i="1"/>
  <c r="M109" i="1"/>
  <c r="O109" i="1" s="1"/>
  <c r="M115" i="1"/>
  <c r="M136" i="1"/>
  <c r="M137" i="1"/>
  <c r="M138" i="1"/>
  <c r="M154" i="1"/>
  <c r="W158" i="1"/>
  <c r="M161" i="1"/>
  <c r="S21" i="1"/>
  <c r="K19" i="2"/>
  <c r="M105" i="1"/>
  <c r="E3" i="1"/>
  <c r="L2" i="1"/>
  <c r="X21" i="1"/>
  <c r="M22" i="1"/>
  <c r="N22" i="1" s="1"/>
  <c r="K20" i="2"/>
  <c r="K18" i="2"/>
  <c r="K7" i="2"/>
  <c r="E26" i="4"/>
  <c r="E61" i="4" s="1"/>
  <c r="E63" i="4" s="1"/>
  <c r="I26" i="4"/>
  <c r="I61" i="4" s="1"/>
  <c r="I63" i="4" s="1"/>
  <c r="F11" i="2"/>
  <c r="K16" i="2"/>
  <c r="C26" i="4"/>
  <c r="H10" i="4"/>
  <c r="O13" i="4"/>
  <c r="O14" i="4" s="1"/>
  <c r="C44" i="4"/>
  <c r="P2" i="1"/>
  <c r="M10" i="4"/>
  <c r="H18" i="4"/>
  <c r="H9" i="4"/>
  <c r="H17" i="4"/>
  <c r="H20" i="4"/>
  <c r="M53" i="4"/>
  <c r="O53" i="4" s="1"/>
  <c r="O56" i="4" s="1"/>
  <c r="C59" i="4"/>
  <c r="H36" i="4"/>
  <c r="D20" i="3"/>
  <c r="H14" i="3"/>
  <c r="H27" i="2"/>
  <c r="K21" i="2"/>
  <c r="K14" i="2"/>
  <c r="O23" i="1"/>
  <c r="R23" i="1" s="1"/>
  <c r="S23" i="1"/>
  <c r="N20" i="1"/>
  <c r="R20" i="1" s="1"/>
  <c r="S20" i="1"/>
  <c r="S24" i="1"/>
  <c r="O28" i="1"/>
  <c r="N28" i="1"/>
  <c r="R17" i="1"/>
  <c r="S19" i="1"/>
  <c r="S27" i="1"/>
  <c r="N27" i="1"/>
  <c r="S32" i="1"/>
  <c r="S35" i="1"/>
  <c r="O35" i="1"/>
  <c r="R35" i="1" s="1"/>
  <c r="O38" i="1"/>
  <c r="N38" i="1"/>
  <c r="N48" i="1"/>
  <c r="S48" i="1"/>
  <c r="O48" i="1"/>
  <c r="N55" i="1"/>
  <c r="X55" i="1" s="1"/>
  <c r="O55" i="1"/>
  <c r="O57" i="1"/>
  <c r="R57" i="1" s="1"/>
  <c r="N57" i="1"/>
  <c r="V69" i="1"/>
  <c r="X69" i="1"/>
  <c r="M14" i="1"/>
  <c r="N19" i="1"/>
  <c r="R19" i="1" s="1"/>
  <c r="O27" i="1"/>
  <c r="O36" i="1"/>
  <c r="N36" i="1"/>
  <c r="S36" i="1"/>
  <c r="S50" i="1"/>
  <c r="O50" i="1"/>
  <c r="N50" i="1"/>
  <c r="R50" i="1" s="1"/>
  <c r="O52" i="1"/>
  <c r="N52" i="1"/>
  <c r="O60" i="1"/>
  <c r="N60" i="1"/>
  <c r="R60" i="1" s="1"/>
  <c r="O37" i="1"/>
  <c r="R37" i="1" s="1"/>
  <c r="N37" i="1"/>
  <c r="S37" i="1"/>
  <c r="O45" i="1"/>
  <c r="T45" i="1"/>
  <c r="N45" i="1"/>
  <c r="S45" i="1"/>
  <c r="S46" i="1"/>
  <c r="O46" i="1"/>
  <c r="N49" i="1"/>
  <c r="S49" i="1"/>
  <c r="O49" i="1"/>
  <c r="N58" i="1"/>
  <c r="U58" i="1"/>
  <c r="O58" i="1"/>
  <c r="O61" i="1"/>
  <c r="N61" i="1"/>
  <c r="O67" i="1"/>
  <c r="N67" i="1"/>
  <c r="R67" i="1" s="1"/>
  <c r="X71" i="1"/>
  <c r="O76" i="1"/>
  <c r="N76" i="1"/>
  <c r="R76" i="1" s="1"/>
  <c r="O79" i="1"/>
  <c r="N79" i="1"/>
  <c r="O80" i="1"/>
  <c r="N80" i="1"/>
  <c r="R80" i="1" s="1"/>
  <c r="O82" i="1"/>
  <c r="R82" i="1" s="1"/>
  <c r="N82" i="1"/>
  <c r="O83" i="1"/>
  <c r="V92" i="1"/>
  <c r="X92" i="1" s="1"/>
  <c r="M18" i="1"/>
  <c r="N40" i="1"/>
  <c r="S40" i="1"/>
  <c r="O40" i="1"/>
  <c r="N53" i="1"/>
  <c r="O53" i="1"/>
  <c r="N56" i="1"/>
  <c r="X74" i="1"/>
  <c r="O24" i="1"/>
  <c r="R24" i="1" s="1"/>
  <c r="S28" i="1"/>
  <c r="S31" i="1"/>
  <c r="O31" i="1"/>
  <c r="N31" i="1"/>
  <c r="O47" i="1"/>
  <c r="E168" i="1"/>
  <c r="S41" i="1"/>
  <c r="X41" i="1" s="1"/>
  <c r="R42" i="1"/>
  <c r="M54" i="1"/>
  <c r="M59" i="1"/>
  <c r="N66" i="1"/>
  <c r="O69" i="1"/>
  <c r="M72" i="1"/>
  <c r="O74" i="1"/>
  <c r="R74" i="1" s="1"/>
  <c r="X75" i="1"/>
  <c r="N78" i="1"/>
  <c r="R78" i="1" s="1"/>
  <c r="O84" i="1"/>
  <c r="R84" i="1"/>
  <c r="N88" i="1"/>
  <c r="O94" i="1"/>
  <c r="R94" i="1" s="1"/>
  <c r="M98" i="1"/>
  <c r="N99" i="1"/>
  <c r="R99" i="1" s="1"/>
  <c r="O105" i="1"/>
  <c r="N105" i="1"/>
  <c r="X105" i="1" s="1"/>
  <c r="V105" i="1"/>
  <c r="S34" i="1"/>
  <c r="X65" i="1"/>
  <c r="R69" i="1"/>
  <c r="N86" i="1"/>
  <c r="O86" i="1"/>
  <c r="R86" i="1" s="1"/>
  <c r="V87" i="1"/>
  <c r="X87" i="1" s="1"/>
  <c r="N90" i="1"/>
  <c r="O90" i="1"/>
  <c r="O91" i="1"/>
  <c r="R91" i="1" s="1"/>
  <c r="N97" i="1"/>
  <c r="O97" i="1"/>
  <c r="R97" i="1" s="1"/>
  <c r="O101" i="1"/>
  <c r="N101" i="1"/>
  <c r="N34" i="1"/>
  <c r="R34" i="1" s="1"/>
  <c r="O41" i="1"/>
  <c r="R41" i="1" s="1"/>
  <c r="N63" i="1"/>
  <c r="N64" i="1"/>
  <c r="O65" i="1"/>
  <c r="R70" i="1"/>
  <c r="N73" i="1"/>
  <c r="N77" i="1"/>
  <c r="X77" i="1" s="1"/>
  <c r="N81" i="1"/>
  <c r="X81" i="1" s="1"/>
  <c r="O85" i="1"/>
  <c r="R88" i="1"/>
  <c r="O89" i="1"/>
  <c r="N93" i="1"/>
  <c r="O93" i="1"/>
  <c r="R93" i="1" s="1"/>
  <c r="V94" i="1"/>
  <c r="X94" i="1" s="1"/>
  <c r="V102" i="1"/>
  <c r="X102" i="1" s="1"/>
  <c r="R51" i="1"/>
  <c r="N62" i="1"/>
  <c r="X62" i="1" s="1"/>
  <c r="O63" i="1"/>
  <c r="R64" i="1"/>
  <c r="R65" i="1"/>
  <c r="R68" i="1"/>
  <c r="N70" i="1"/>
  <c r="O73" i="1"/>
  <c r="O81" i="1"/>
  <c r="R81" i="1" s="1"/>
  <c r="N85" i="1"/>
  <c r="X85" i="1" s="1"/>
  <c r="O87" i="1"/>
  <c r="R87" i="1" s="1"/>
  <c r="N89" i="1"/>
  <c r="R89" i="1" s="1"/>
  <c r="O92" i="1"/>
  <c r="R92" i="1" s="1"/>
  <c r="R96" i="1"/>
  <c r="R103" i="1"/>
  <c r="N109" i="1"/>
  <c r="R109" i="1" s="1"/>
  <c r="R115" i="1"/>
  <c r="N115" i="1"/>
  <c r="V115" i="1"/>
  <c r="N122" i="1"/>
  <c r="V122" i="1"/>
  <c r="N132" i="1"/>
  <c r="R132" i="1" s="1"/>
  <c r="V132" i="1"/>
  <c r="N136" i="1"/>
  <c r="R136" i="1" s="1"/>
  <c r="V136" i="1"/>
  <c r="N137" i="1"/>
  <c r="X137" i="1" s="1"/>
  <c r="V137" i="1"/>
  <c r="V138" i="1"/>
  <c r="R138" i="1"/>
  <c r="N138" i="1"/>
  <c r="V140" i="1"/>
  <c r="N140" i="1"/>
  <c r="X140" i="1" s="1"/>
  <c r="N154" i="1"/>
  <c r="V154" i="1"/>
  <c r="W161" i="1"/>
  <c r="N161" i="1"/>
  <c r="R161" i="1" s="1"/>
  <c r="V161" i="1"/>
  <c r="N162" i="1"/>
  <c r="R162" i="1" s="1"/>
  <c r="V107" i="1"/>
  <c r="O108" i="1"/>
  <c r="R108" i="1" s="1"/>
  <c r="N108" i="1"/>
  <c r="M113" i="1"/>
  <c r="N120" i="1"/>
  <c r="X120" i="1" s="1"/>
  <c r="V120" i="1"/>
  <c r="N121" i="1"/>
  <c r="V121" i="1"/>
  <c r="R121" i="1"/>
  <c r="N130" i="1"/>
  <c r="R130" i="1" s="1"/>
  <c r="V130" i="1"/>
  <c r="N131" i="1"/>
  <c r="V131" i="1"/>
  <c r="R153" i="1"/>
  <c r="W153" i="1"/>
  <c r="V153" i="1"/>
  <c r="W157" i="1"/>
  <c r="N157" i="1"/>
  <c r="V157" i="1"/>
  <c r="N107" i="1"/>
  <c r="V109" i="1"/>
  <c r="O111" i="1"/>
  <c r="N111" i="1"/>
  <c r="V111" i="1"/>
  <c r="N117" i="1"/>
  <c r="R117" i="1" s="1"/>
  <c r="V117" i="1"/>
  <c r="N126" i="1"/>
  <c r="R126" i="1" s="1"/>
  <c r="V126" i="1"/>
  <c r="N127" i="1"/>
  <c r="R127" i="1" s="1"/>
  <c r="V127" i="1"/>
  <c r="N143" i="1"/>
  <c r="R143" i="1" s="1"/>
  <c r="V143" i="1"/>
  <c r="V144" i="1"/>
  <c r="N144" i="1"/>
  <c r="X144" i="1" s="1"/>
  <c r="R146" i="1"/>
  <c r="N146" i="1"/>
  <c r="V146" i="1"/>
  <c r="N147" i="1"/>
  <c r="R147" i="1" s="1"/>
  <c r="V147" i="1"/>
  <c r="V148" i="1"/>
  <c r="N148" i="1"/>
  <c r="X148" i="1" s="1"/>
  <c r="N149" i="1"/>
  <c r="V149" i="1"/>
  <c r="N150" i="1"/>
  <c r="V150" i="1"/>
  <c r="V151" i="1"/>
  <c r="R151" i="1"/>
  <c r="N151" i="1"/>
  <c r="N152" i="1"/>
  <c r="R152" i="1" s="1"/>
  <c r="V152" i="1"/>
  <c r="N159" i="1"/>
  <c r="R159" i="1" s="1"/>
  <c r="O102" i="1"/>
  <c r="R102" i="1" s="1"/>
  <c r="X103" i="1"/>
  <c r="V106" i="1"/>
  <c r="X106" i="1" s="1"/>
  <c r="R106" i="1"/>
  <c r="O107" i="1"/>
  <c r="V108" i="1"/>
  <c r="O110" i="1"/>
  <c r="R110" i="1" s="1"/>
  <c r="V110" i="1"/>
  <c r="N110" i="1"/>
  <c r="N116" i="1"/>
  <c r="V116" i="1"/>
  <c r="N123" i="1"/>
  <c r="V123" i="1"/>
  <c r="R123" i="1"/>
  <c r="N133" i="1"/>
  <c r="R133" i="1" s="1"/>
  <c r="V133" i="1"/>
  <c r="V134" i="1"/>
  <c r="N134" i="1"/>
  <c r="V139" i="1"/>
  <c r="N139" i="1"/>
  <c r="R139" i="1" s="1"/>
  <c r="N141" i="1"/>
  <c r="V141" i="1"/>
  <c r="N142" i="1"/>
  <c r="V142" i="1"/>
  <c r="R142" i="1"/>
  <c r="V145" i="1"/>
  <c r="N145" i="1"/>
  <c r="R145" i="1" s="1"/>
  <c r="O112" i="1"/>
  <c r="O114" i="1"/>
  <c r="R114" i="1" s="1"/>
  <c r="R118" i="1"/>
  <c r="N119" i="1"/>
  <c r="X119" i="1" s="1"/>
  <c r="R124" i="1"/>
  <c r="N125" i="1"/>
  <c r="X125" i="1" s="1"/>
  <c r="R128" i="1"/>
  <c r="N129" i="1"/>
  <c r="X129" i="1" s="1"/>
  <c r="N135" i="1"/>
  <c r="X135" i="1" s="1"/>
  <c r="R156" i="1"/>
  <c r="X156" i="1"/>
  <c r="R158" i="1"/>
  <c r="X158" i="1"/>
  <c r="R112" i="1"/>
  <c r="R119" i="1"/>
  <c r="R129" i="1"/>
  <c r="V155" i="1"/>
  <c r="N32" i="1" l="1"/>
  <c r="C61" i="4"/>
  <c r="H61" i="4" s="1"/>
  <c r="H54" i="4"/>
  <c r="H59" i="4" s="1"/>
  <c r="X116" i="1"/>
  <c r="R101" i="1"/>
  <c r="N47" i="1"/>
  <c r="R79" i="1"/>
  <c r="R55" i="1"/>
  <c r="R48" i="1"/>
  <c r="O100" i="1"/>
  <c r="N100" i="1"/>
  <c r="R100" i="1" s="1"/>
  <c r="R75" i="1"/>
  <c r="X118" i="1"/>
  <c r="R56" i="1"/>
  <c r="R61" i="1"/>
  <c r="X27" i="1"/>
  <c r="X28" i="1"/>
  <c r="K11" i="2"/>
  <c r="F27" i="2"/>
  <c r="V104" i="1"/>
  <c r="X104" i="1"/>
  <c r="X107" i="1"/>
  <c r="X122" i="1"/>
  <c r="R164" i="1"/>
  <c r="V96" i="1"/>
  <c r="X96" i="1" s="1"/>
  <c r="X131" i="1"/>
  <c r="X40" i="1"/>
  <c r="R107" i="1"/>
  <c r="X150" i="1"/>
  <c r="R111" i="1"/>
  <c r="W2" i="1"/>
  <c r="R53" i="1"/>
  <c r="R45" i="1"/>
  <c r="R52" i="1"/>
  <c r="N95" i="1"/>
  <c r="O95" i="1"/>
  <c r="R104" i="1"/>
  <c r="X114" i="1"/>
  <c r="X51" i="1"/>
  <c r="R22" i="1"/>
  <c r="S22" i="1"/>
  <c r="X22" i="1" s="1"/>
  <c r="R32" i="1"/>
  <c r="X58" i="1"/>
  <c r="X36" i="1"/>
  <c r="R38" i="1"/>
  <c r="R31" i="1"/>
  <c r="H26" i="4"/>
  <c r="O48" i="4"/>
  <c r="T157" i="1"/>
  <c r="X157" i="1" s="1"/>
  <c r="X134" i="1"/>
  <c r="T149" i="1"/>
  <c r="X149" i="1"/>
  <c r="X143" i="1"/>
  <c r="R157" i="1"/>
  <c r="R131" i="1"/>
  <c r="X121" i="1"/>
  <c r="X154" i="1"/>
  <c r="R137" i="1"/>
  <c r="V89" i="1"/>
  <c r="X89" i="1" s="1"/>
  <c r="V97" i="1"/>
  <c r="X97" i="1" s="1"/>
  <c r="R135" i="1"/>
  <c r="X142" i="1"/>
  <c r="X139" i="1"/>
  <c r="R134" i="1"/>
  <c r="X133" i="1"/>
  <c r="T110" i="1"/>
  <c r="X110" i="1" s="1"/>
  <c r="T151" i="1"/>
  <c r="X151" i="1" s="1"/>
  <c r="R149" i="1"/>
  <c r="X146" i="1"/>
  <c r="X126" i="1"/>
  <c r="X117" i="1"/>
  <c r="X108" i="1"/>
  <c r="X162" i="1"/>
  <c r="T162" i="1"/>
  <c r="T161" i="1"/>
  <c r="X161" i="1"/>
  <c r="R154" i="1"/>
  <c r="X138" i="1"/>
  <c r="T115" i="1"/>
  <c r="X115" i="1" s="1"/>
  <c r="V70" i="1"/>
  <c r="X70" i="1" s="1"/>
  <c r="V93" i="1"/>
  <c r="X93" i="1" s="1"/>
  <c r="V64" i="1"/>
  <c r="X64" i="1" s="1"/>
  <c r="V90" i="1"/>
  <c r="X90" i="1" s="1"/>
  <c r="R90" i="1"/>
  <c r="X86" i="1"/>
  <c r="V86" i="1"/>
  <c r="R105" i="1"/>
  <c r="R77" i="1"/>
  <c r="V82" i="1"/>
  <c r="X82" i="1" s="1"/>
  <c r="T52" i="1"/>
  <c r="X52" i="1" s="1"/>
  <c r="R28" i="1"/>
  <c r="V20" i="1"/>
  <c r="X20" i="1" s="1"/>
  <c r="R85" i="1"/>
  <c r="V73" i="1"/>
  <c r="X73" i="1" s="1"/>
  <c r="X63" i="1"/>
  <c r="V63" i="1"/>
  <c r="R63" i="1"/>
  <c r="O98" i="1"/>
  <c r="N98" i="1"/>
  <c r="R98" i="1" s="1"/>
  <c r="V66" i="1"/>
  <c r="X66" i="1"/>
  <c r="T47" i="1"/>
  <c r="X47" i="1" s="1"/>
  <c r="T53" i="1"/>
  <c r="X53" i="1" s="1"/>
  <c r="T49" i="1"/>
  <c r="X49" i="1" s="1"/>
  <c r="T46" i="1"/>
  <c r="X46" i="1"/>
  <c r="T57" i="1"/>
  <c r="X57" i="1" s="1"/>
  <c r="X141" i="1"/>
  <c r="R116" i="1"/>
  <c r="X147" i="1"/>
  <c r="X111" i="1"/>
  <c r="R120" i="1"/>
  <c r="R140" i="1"/>
  <c r="X132" i="1"/>
  <c r="R122" i="1"/>
  <c r="X109" i="1"/>
  <c r="R62" i="1"/>
  <c r="V101" i="1"/>
  <c r="X101" i="1" s="1"/>
  <c r="R73" i="1"/>
  <c r="O59" i="1"/>
  <c r="N59" i="1"/>
  <c r="R59" i="1" s="1"/>
  <c r="T56" i="1"/>
  <c r="X56" i="1" s="1"/>
  <c r="N18" i="1"/>
  <c r="R18" i="1" s="1"/>
  <c r="S18" i="1"/>
  <c r="V79" i="1"/>
  <c r="X79" i="1" s="1"/>
  <c r="V76" i="1"/>
  <c r="X76" i="1"/>
  <c r="R66" i="1"/>
  <c r="X60" i="1"/>
  <c r="U60" i="1"/>
  <c r="T60" i="1"/>
  <c r="N14" i="1"/>
  <c r="R14" i="1" s="1"/>
  <c r="S14" i="1"/>
  <c r="T48" i="1"/>
  <c r="X48" i="1"/>
  <c r="R125" i="1"/>
  <c r="T152" i="1"/>
  <c r="X152" i="1" s="1"/>
  <c r="R148" i="1"/>
  <c r="X127" i="1"/>
  <c r="X145" i="1"/>
  <c r="R141" i="1"/>
  <c r="X123" i="1"/>
  <c r="R150" i="1"/>
  <c r="R144" i="1"/>
  <c r="X130" i="1"/>
  <c r="O113" i="1"/>
  <c r="N113" i="1"/>
  <c r="V113" i="1"/>
  <c r="X136" i="1"/>
  <c r="V99" i="1"/>
  <c r="X99" i="1" s="1"/>
  <c r="V88" i="1"/>
  <c r="X88" i="1"/>
  <c r="V78" i="1"/>
  <c r="X78" i="1" s="1"/>
  <c r="O72" i="1"/>
  <c r="N72" i="1"/>
  <c r="R72" i="1" s="1"/>
  <c r="O54" i="1"/>
  <c r="R54" i="1" s="1"/>
  <c r="N54" i="1"/>
  <c r="R47" i="1"/>
  <c r="R40" i="1"/>
  <c r="V83" i="1"/>
  <c r="X83" i="1" s="1"/>
  <c r="V80" i="1"/>
  <c r="X80" i="1" s="1"/>
  <c r="V67" i="1"/>
  <c r="X67" i="1" s="1"/>
  <c r="T61" i="1"/>
  <c r="X61" i="1" s="1"/>
  <c r="R58" i="1"/>
  <c r="R49" i="1"/>
  <c r="R46" i="1"/>
  <c r="X45" i="1"/>
  <c r="T50" i="1"/>
  <c r="X50" i="1" s="1"/>
  <c r="R36" i="1"/>
  <c r="X32" i="1"/>
  <c r="R27" i="1"/>
  <c r="R113" i="1" l="1"/>
  <c r="V95" i="1"/>
  <c r="X95" i="1" s="1"/>
  <c r="R95" i="1"/>
  <c r="V100" i="1"/>
  <c r="X100" i="1"/>
  <c r="K27" i="2"/>
  <c r="G19" i="3"/>
  <c r="C63" i="4"/>
  <c r="T54" i="1"/>
  <c r="X54" i="1" s="1"/>
  <c r="X113" i="1"/>
  <c r="T59" i="1"/>
  <c r="X59" i="1"/>
  <c r="U59" i="1"/>
  <c r="U2" i="1" s="1"/>
  <c r="V98" i="1"/>
  <c r="X98" i="1"/>
  <c r="V72" i="1"/>
  <c r="X72" i="1" s="1"/>
  <c r="D33" i="1" l="1"/>
  <c r="H19" i="3"/>
  <c r="G20" i="3"/>
  <c r="I67" i="4"/>
  <c r="H63" i="4"/>
  <c r="V2" i="1"/>
  <c r="T2" i="1"/>
  <c r="I33" i="1" l="1"/>
  <c r="D3" i="1"/>
  <c r="M33" i="1" l="1"/>
  <c r="I2" i="1"/>
  <c r="N33" i="1" l="1"/>
  <c r="N2" i="1" s="1"/>
  <c r="S33" i="1"/>
  <c r="O33" i="1"/>
  <c r="O2" i="1" s="1"/>
  <c r="M2" i="1"/>
  <c r="R33" i="1" l="1"/>
  <c r="Y2" i="1"/>
  <c r="R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tc={4191F39D-CDB4-4F59-88DB-387A78CAE514}</author>
  </authors>
  <commentList>
    <comment ref="J19" authorId="0" shapeId="0" xr:uid="{4191F39D-CDB4-4F59-88DB-387A78CAE514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=416347.99+25779.</t>
      </text>
    </comment>
  </commentList>
</comments>
</file>

<file path=xl/sharedStrings.xml><?xml version="1.0" encoding="utf-8"?>
<sst xmlns="http://schemas.openxmlformats.org/spreadsheetml/2006/main" count="692" uniqueCount="400">
  <si>
    <t>Diferencia para control debe ser cero</t>
  </si>
  <si>
    <t>Totales</t>
  </si>
  <si>
    <t>Defensa Civil</t>
  </si>
  <si>
    <t>Diferencia para control</t>
  </si>
  <si>
    <t>Balanza de comprobación</t>
  </si>
  <si>
    <t>Hoja de trabajo para el estado de flujo de efectivo</t>
  </si>
  <si>
    <t>Al 31 de diciembre de 2020 y 2019</t>
  </si>
  <si>
    <t>(Valores en RD$)</t>
  </si>
  <si>
    <t>Operación</t>
  </si>
  <si>
    <t xml:space="preserve">Balance al </t>
  </si>
  <si>
    <t xml:space="preserve"> |-----Eliminaciones-----|</t>
  </si>
  <si>
    <t>Variación</t>
  </si>
  <si>
    <t>Actividades</t>
  </si>
  <si>
    <t>Transfe-rencias</t>
  </si>
  <si>
    <t>Pagos a trabajadores</t>
  </si>
  <si>
    <t>Pagos por contribuciones</t>
  </si>
  <si>
    <t>Pagos a</t>
  </si>
  <si>
    <t xml:space="preserve">Otros </t>
  </si>
  <si>
    <t>Mapeo</t>
  </si>
  <si>
    <t>Nombre de la cuenta</t>
  </si>
  <si>
    <t>Tipo de Actividad en el Flujo de Efectivo</t>
  </si>
  <si>
    <t>Descripción</t>
  </si>
  <si>
    <t>Dr</t>
  </si>
  <si>
    <t>Cr</t>
  </si>
  <si>
    <t>Dr  o  (Cr)</t>
  </si>
  <si>
    <t>Operacón</t>
  </si>
  <si>
    <t>Inversión</t>
  </si>
  <si>
    <t>Financia-miento</t>
  </si>
  <si>
    <t>Recibidas</t>
  </si>
  <si>
    <t>o beneficios a ellos</t>
  </si>
  <si>
    <t>a la seguridad social</t>
  </si>
  <si>
    <t>Proveedores</t>
  </si>
  <si>
    <t>Pagos</t>
  </si>
  <si>
    <t>**</t>
  </si>
  <si>
    <t>ACTIVOS</t>
  </si>
  <si>
    <t>A</t>
  </si>
  <si>
    <t>B</t>
  </si>
  <si>
    <t>C</t>
  </si>
  <si>
    <t>D</t>
  </si>
  <si>
    <t>(A+B-C-D)</t>
  </si>
  <si>
    <t>0001</t>
  </si>
  <si>
    <t>Caja chica</t>
  </si>
  <si>
    <t>Banco de Reservas (cuenta No. 010-500042-6)</t>
  </si>
  <si>
    <t>Efectivo y equivalente de efectivo</t>
  </si>
  <si>
    <t>Cuenta cuota Institucional(No.0100102001)</t>
  </si>
  <si>
    <t>Cuenta Disponibilidad institucional(No.0100102000)</t>
  </si>
  <si>
    <t>Colectora Captación Directa(No.999027000)</t>
  </si>
  <si>
    <t>0004</t>
  </si>
  <si>
    <t>CI 7297 Prevencion para Des. Temp. Ciclonica</t>
  </si>
  <si>
    <t>0005</t>
  </si>
  <si>
    <t>Material gastable</t>
  </si>
  <si>
    <t>AOP</t>
  </si>
  <si>
    <t>0006</t>
  </si>
  <si>
    <t>Pagos anticipados</t>
  </si>
  <si>
    <t>0012</t>
  </si>
  <si>
    <t>Mobiliarios y equipos de oficina</t>
  </si>
  <si>
    <t>AINV</t>
  </si>
  <si>
    <t>Depreciación acumulada</t>
  </si>
  <si>
    <t>0013</t>
  </si>
  <si>
    <t>Intangibles</t>
  </si>
  <si>
    <t>Amortización</t>
  </si>
  <si>
    <t>PASIVOS</t>
  </si>
  <si>
    <t>0016</t>
  </si>
  <si>
    <t>Cuentas por pagar</t>
  </si>
  <si>
    <t>0019</t>
  </si>
  <si>
    <t>Retenciones y acumulaciones por pagar</t>
  </si>
  <si>
    <t xml:space="preserve">ajuste </t>
  </si>
  <si>
    <t>ACTIVOS NETO/PATRIMONIO</t>
  </si>
  <si>
    <t>Capital</t>
  </si>
  <si>
    <t>0033</t>
  </si>
  <si>
    <t>Resultado acumulado</t>
  </si>
  <si>
    <t>0032</t>
  </si>
  <si>
    <t>Resultado del período</t>
  </si>
  <si>
    <t>Ajustes</t>
  </si>
  <si>
    <t>INGRESOS</t>
  </si>
  <si>
    <t>0036</t>
  </si>
  <si>
    <t>Ingresos por transacciones con contraprestación</t>
  </si>
  <si>
    <t>0037</t>
  </si>
  <si>
    <t>Transferencias</t>
  </si>
  <si>
    <t>Ingresos extraspresupuestarios</t>
  </si>
  <si>
    <t>0038</t>
  </si>
  <si>
    <t>Recargos, multas y otros ingresos</t>
  </si>
  <si>
    <t>GASTOS</t>
  </si>
  <si>
    <t>SERVICIOS PERSONALES</t>
  </si>
  <si>
    <t>REMUNERACIONES</t>
  </si>
  <si>
    <t>0039</t>
  </si>
  <si>
    <t>0010</t>
  </si>
  <si>
    <t>Sueldos fijos</t>
  </si>
  <si>
    <t>0011</t>
  </si>
  <si>
    <t>Sueldos al personal contratado y/o igualado</t>
  </si>
  <si>
    <t>Sueldo al personal nominal en periodo probatorio</t>
  </si>
  <si>
    <t>Sueldo anual no. 13</t>
  </si>
  <si>
    <t>2.1.1.5.01</t>
  </si>
  <si>
    <t>Prestaciones económicas</t>
  </si>
  <si>
    <t>0014</t>
  </si>
  <si>
    <t>Proporción de vacaciones no disfrutadas</t>
  </si>
  <si>
    <t>SOBRESUELDOS</t>
  </si>
  <si>
    <t>0015</t>
  </si>
  <si>
    <t>Compensación por horas extraordinarias</t>
  </si>
  <si>
    <t>Compensación por servicio de seguridad</t>
  </si>
  <si>
    <t>0017</t>
  </si>
  <si>
    <t>Bono por desempeño</t>
  </si>
  <si>
    <t>GRATIFICACIONES Y BONIFICACIONES</t>
  </si>
  <si>
    <t>0018</t>
  </si>
  <si>
    <t>Gratificaciones por aniversario de institución</t>
  </si>
  <si>
    <t>CONTRIBUCIONES A LA SEGURIDAD SOCIAL Y RIESGO LABORAL</t>
  </si>
  <si>
    <t>Contribuciones al seguro de salud</t>
  </si>
  <si>
    <t xml:space="preserve">Contribuciones al seguro de pensiones </t>
  </si>
  <si>
    <t>Contribuciones al seguro de riesgo laboral</t>
  </si>
  <si>
    <t>SERVICIOS NO PERSONALES</t>
  </si>
  <si>
    <t>SERVICIOS BÁSICOS</t>
  </si>
  <si>
    <t>0044</t>
  </si>
  <si>
    <t>Servicios telefónico de larga distancia</t>
  </si>
  <si>
    <t>Teléfono local</t>
  </si>
  <si>
    <t>Telefax y correo</t>
  </si>
  <si>
    <t>Servicio de internet y televisión por cable</t>
  </si>
  <si>
    <t>Energía eléctrica</t>
  </si>
  <si>
    <t>PUBLICIDAD, IMPRESIÓN Y ENCUADERNACIÓN</t>
  </si>
  <si>
    <t>Publicidad y propaganda</t>
  </si>
  <si>
    <t>Impresión y encuadernación</t>
  </si>
  <si>
    <t>VIÁTICOS</t>
  </si>
  <si>
    <t>Viáticos dentro del país</t>
  </si>
  <si>
    <t>Viáticos fuera del país</t>
  </si>
  <si>
    <t>TRANSPORTE Y ALMACENAJES</t>
  </si>
  <si>
    <t>Pasajes</t>
  </si>
  <si>
    <t>Peajes</t>
  </si>
  <si>
    <t>ALQUILERES Y RENTA</t>
  </si>
  <si>
    <t>Edificios y locales</t>
  </si>
  <si>
    <t>2.2.5.4.01</t>
  </si>
  <si>
    <t>Alquiler de vehículo</t>
  </si>
  <si>
    <t>Otros alquileres</t>
  </si>
  <si>
    <t>SEGUROS</t>
  </si>
  <si>
    <t>Seguro de bienes muebles</t>
  </si>
  <si>
    <t>2.2.6.3.01</t>
  </si>
  <si>
    <t>Seguro de personas</t>
  </si>
  <si>
    <t>CONSERV., REPS. MENORES E INSTALACIONES TEMP.</t>
  </si>
  <si>
    <t>Servicios especiales de mantenimiento y reparación</t>
  </si>
  <si>
    <t>2.2.7.1.07</t>
  </si>
  <si>
    <t>Servicios de pintura y derivados con fin de higiene y embellecimiento</t>
  </si>
  <si>
    <t>Reparaciones de obras menores</t>
  </si>
  <si>
    <t>Mant. y rep. De equipo de oficina y muebles</t>
  </si>
  <si>
    <t>2.2.7.2.05</t>
  </si>
  <si>
    <t>Mant. y rep. De equipo de comunicación</t>
  </si>
  <si>
    <t>Mant. y rep. De equipo de transporte, tracción y elevación</t>
  </si>
  <si>
    <t xml:space="preserve">OTROS SERVICIOS NO PERSONALES </t>
  </si>
  <si>
    <t>Comisiones y gastos bancarios</t>
  </si>
  <si>
    <t>2.2.8.3.01</t>
  </si>
  <si>
    <t xml:space="preserve">Servicios sanitarios médicos y veterinarios </t>
  </si>
  <si>
    <t>Fumigación</t>
  </si>
  <si>
    <t>Activos prepagados</t>
  </si>
  <si>
    <t>Lavandería</t>
  </si>
  <si>
    <t>Limpieza e higiene</t>
  </si>
  <si>
    <t>Eventos generales</t>
  </si>
  <si>
    <t>Festividades</t>
  </si>
  <si>
    <t>Servicios jurídicos</t>
  </si>
  <si>
    <t>2.2.8.7.04</t>
  </si>
  <si>
    <t>Servicios de capacitación</t>
  </si>
  <si>
    <t>Otros servicios técnicos profesionales</t>
  </si>
  <si>
    <t>MATERIALES Y SUMINISTROS</t>
  </si>
  <si>
    <t>ALIMENTOS Y PRODUCTOS AGROFORESTALES</t>
  </si>
  <si>
    <t>2.3.1.1.01</t>
  </si>
  <si>
    <t>Alimentos y bebidas para personas</t>
  </si>
  <si>
    <t>0041</t>
  </si>
  <si>
    <t>2.3.1.3.03</t>
  </si>
  <si>
    <t>Productos forestales</t>
  </si>
  <si>
    <t>TEXTILES Y VESTUARIOS</t>
  </si>
  <si>
    <t>2.3.2.1.01</t>
  </si>
  <si>
    <t>Hilados y telas</t>
  </si>
  <si>
    <t>2.3.2.2.01</t>
  </si>
  <si>
    <t>Acabados textiles</t>
  </si>
  <si>
    <t>2.3.2.3.01</t>
  </si>
  <si>
    <t>Prendas de vestir</t>
  </si>
  <si>
    <t>PRODUCTOS DE PAPEL, CARTÓN E IMPRESO</t>
  </si>
  <si>
    <t>2.3.3.1.01</t>
  </si>
  <si>
    <t>Papel de escritorio</t>
  </si>
  <si>
    <t>2.3.3.2.01</t>
  </si>
  <si>
    <t>Productos de papel y cartón</t>
  </si>
  <si>
    <t>2.3.3.3.01</t>
  </si>
  <si>
    <t>Productos de artes gráficas</t>
  </si>
  <si>
    <t>2.3.4.1.01</t>
  </si>
  <si>
    <t>Productos medicinales para uso humano</t>
  </si>
  <si>
    <t>PRODUCTOS DE CUERO, CAUCHO Y PLÁSTICOS</t>
  </si>
  <si>
    <t>2.3.5.2.01</t>
  </si>
  <si>
    <t>Artículos de cuero</t>
  </si>
  <si>
    <t>Libros, revistas y periódicos</t>
  </si>
  <si>
    <t>2.3.5.3.01</t>
  </si>
  <si>
    <t>Llantas y neumáticos</t>
  </si>
  <si>
    <t>2.3.5.4.01</t>
  </si>
  <si>
    <t>Artículos de caucho</t>
  </si>
  <si>
    <t>2.3.5.5.01</t>
  </si>
  <si>
    <t>Artículos de plástico</t>
  </si>
  <si>
    <t>PRODUCTOS DE MINERALES, METÁLICOS Y NO METÁLICOS</t>
  </si>
  <si>
    <t>2.3.6.1.01</t>
  </si>
  <si>
    <t>Productos de cemento</t>
  </si>
  <si>
    <t>2.3.6.1.04</t>
  </si>
  <si>
    <t>Productos de yeso</t>
  </si>
  <si>
    <t>2.3.6.2.01</t>
  </si>
  <si>
    <t>Productos de vidrio</t>
  </si>
  <si>
    <t>2.3.6.3.01</t>
  </si>
  <si>
    <t>Productos ferrosos</t>
  </si>
  <si>
    <t>2.3.6.3.02</t>
  </si>
  <si>
    <t>Productos no ferrosos</t>
  </si>
  <si>
    <t>Herramientas menores</t>
  </si>
  <si>
    <t>Productos de hojalata</t>
  </si>
  <si>
    <t>2.3.6.3.06</t>
  </si>
  <si>
    <t>Accesorios de metal</t>
  </si>
  <si>
    <t>Piedra, arcilla y arena</t>
  </si>
  <si>
    <t>COMBUSTIBLES, LUBRICANTES, PRODUCTOS QUÍMICOS Y CONEXOS</t>
  </si>
  <si>
    <t>2.3.7.1.01</t>
  </si>
  <si>
    <t>Gasolina</t>
  </si>
  <si>
    <t>2.3.7.1.02</t>
  </si>
  <si>
    <t>Gasoil</t>
  </si>
  <si>
    <t>Aceites y grasas</t>
  </si>
  <si>
    <t>2.3.7.2.03</t>
  </si>
  <si>
    <t>Productos químicos de laboratorio y de uso personal</t>
  </si>
  <si>
    <t>2.3.7.2.05</t>
  </si>
  <si>
    <t>Insecticidas, fumigantes y otros</t>
  </si>
  <si>
    <t>2.3.7.2.06</t>
  </si>
  <si>
    <t>Pinturas, lacas, barnices, diluyentes y absorbentes para pinturas</t>
  </si>
  <si>
    <t>PRODUCTOS Y ÚTILES VARIOS</t>
  </si>
  <si>
    <t>2.3.9.1.01</t>
  </si>
  <si>
    <t>Material para limpieza</t>
  </si>
  <si>
    <t>2.3.9.2.01</t>
  </si>
  <si>
    <t>Útiles de escritorio, oficina e informática </t>
  </si>
  <si>
    <t>2.3.9.3.01</t>
  </si>
  <si>
    <t>Útiles menores médico quirurgicos</t>
  </si>
  <si>
    <t>Útiles destinados a actividades deportivas y recreativas</t>
  </si>
  <si>
    <t xml:space="preserve">2.3.9.4.01 </t>
  </si>
  <si>
    <t>2.3.9.6.01</t>
  </si>
  <si>
    <t>Productos eléctricos y afines</t>
  </si>
  <si>
    <t>2.3.9.7.01</t>
  </si>
  <si>
    <t xml:space="preserve">Productos y utiles veterinarios </t>
  </si>
  <si>
    <t>2.3.9.8.01</t>
  </si>
  <si>
    <t>Otros repuestos y accesorios menores</t>
  </si>
  <si>
    <t>2.3.9.9.01</t>
  </si>
  <si>
    <t>Productos y útiles varios</t>
  </si>
  <si>
    <t>Productos y Utiles Varios  n.i.p</t>
  </si>
  <si>
    <t>2.3.9.9.02</t>
  </si>
  <si>
    <t>Bonos para útiles diversos</t>
  </si>
  <si>
    <t>ajustes</t>
  </si>
  <si>
    <t>2.3.6.4.07</t>
  </si>
  <si>
    <t>Minerales</t>
  </si>
  <si>
    <t xml:space="preserve">2.3.9.5.01 </t>
  </si>
  <si>
    <t>Útiles de cocina y comedor</t>
  </si>
  <si>
    <t>Otros</t>
  </si>
  <si>
    <t>TRANSFERENCIAS CORRIENTES</t>
  </si>
  <si>
    <t>0040</t>
  </si>
  <si>
    <t>2.4.1.2.02</t>
  </si>
  <si>
    <t>Ayudas y donaciones ocacionales a hogares y personas</t>
  </si>
  <si>
    <t>2.4.1.4.01</t>
  </si>
  <si>
    <t>Becas nacionales</t>
  </si>
  <si>
    <t>2.4.1.4.02</t>
  </si>
  <si>
    <t>Becas extranjeras</t>
  </si>
  <si>
    <t>2.4.1.6.01</t>
  </si>
  <si>
    <t>Transferencias corrientes a asociaciones sin fines de lucro</t>
  </si>
  <si>
    <t>0042</t>
  </si>
  <si>
    <t>Gasto de depreciación</t>
  </si>
  <si>
    <t>Gasto de amortización</t>
  </si>
  <si>
    <t>Pérdida por retiro</t>
  </si>
  <si>
    <t>(Ganancia) pérdida</t>
  </si>
  <si>
    <t>Beneficio (Pérdida) del periodo</t>
  </si>
  <si>
    <t xml:space="preserve"> </t>
  </si>
  <si>
    <t>Ingresos</t>
  </si>
  <si>
    <t>0035</t>
  </si>
  <si>
    <t xml:space="preserve">Impuestos </t>
  </si>
  <si>
    <t xml:space="preserve">Ingresos por transacciones con contraprestación </t>
  </si>
  <si>
    <t>Ingresos extrapresupuestarios</t>
  </si>
  <si>
    <t>Total ingresos</t>
  </si>
  <si>
    <t xml:space="preserve">Gastos </t>
  </si>
  <si>
    <t>Sueldos, salarios y beneficios a empleados</t>
  </si>
  <si>
    <t>Subvenciones y otros pagos por transferencias</t>
  </si>
  <si>
    <t>Suministros y materiales para consumo</t>
  </si>
  <si>
    <t>Gasto de depreciación y amortización</t>
  </si>
  <si>
    <t>0043</t>
  </si>
  <si>
    <t>Deterioro del valor de propiedad, planta y equipo</t>
  </si>
  <si>
    <t>Otros gastos</t>
  </si>
  <si>
    <t>0045</t>
  </si>
  <si>
    <t>Gastos financieros</t>
  </si>
  <si>
    <t>Total gastos</t>
  </si>
  <si>
    <t>0046</t>
  </si>
  <si>
    <t>Ganancia (pérdida) por diferencia cambiaria</t>
  </si>
  <si>
    <t>0047</t>
  </si>
  <si>
    <t xml:space="preserve">Participación en resultado de asociadas </t>
  </si>
  <si>
    <t>Resultados positivos (ahorro) / negativo (desahorro)</t>
  </si>
  <si>
    <t>0048</t>
  </si>
  <si>
    <t>Propietarios de la entidad controladora</t>
  </si>
  <si>
    <t>0049</t>
  </si>
  <si>
    <t xml:space="preserve">Intereses minoritarios </t>
  </si>
  <si>
    <t>Las notas en las páginas 7 a 14 son parte integral de estos Estados Financieros.</t>
  </si>
  <si>
    <t>Firma del Director Ejecutivo</t>
  </si>
  <si>
    <t>REYNALDO JAVIER</t>
  </si>
  <si>
    <t>Enc. De la División de Contabilidad de la Defensa Civil.</t>
  </si>
  <si>
    <t>Estado de Cambio de Activo / Patrimonio</t>
  </si>
  <si>
    <t>Capital Aportado</t>
  </si>
  <si>
    <t>Cambios en Políticas Contables</t>
  </si>
  <si>
    <t>Revaluación</t>
  </si>
  <si>
    <t>Resultados Acumulados</t>
  </si>
  <si>
    <t>Total Activos Netos / Patrimonio</t>
  </si>
  <si>
    <t>Saldo al 01 de enero de 2021</t>
  </si>
  <si>
    <t>Cambio en políticas contables</t>
  </si>
  <si>
    <t>Revaluación de Propiedad, planta y equipo</t>
  </si>
  <si>
    <t xml:space="preserve">Ajuste al patrimonio </t>
  </si>
  <si>
    <t>Saldo al 31 de diciembre de 2021</t>
  </si>
  <si>
    <t>Efecto del gasto de depreciación de los activos revaluados</t>
  </si>
  <si>
    <t>Las notas en las páginas 7 a la 14 son  parte integral de estos Estados Financieros.</t>
  </si>
  <si>
    <t>Firma del Financiero.</t>
  </si>
  <si>
    <t>Firma del Contador.</t>
  </si>
  <si>
    <t>Flujos de efectivo procedentes de actividades de operación (AOP)</t>
  </si>
  <si>
    <t>Cobros impuestos</t>
  </si>
  <si>
    <t>Contribuciones de la seguridad social</t>
  </si>
  <si>
    <t>Cobros por venta de bienes y servicios y arrendamientos</t>
  </si>
  <si>
    <t>Cobros de subvenciones, transferencias, y otras asignaciones</t>
  </si>
  <si>
    <t>Cobros de seguros por primas, reclamos y otros</t>
  </si>
  <si>
    <t>Cobros por contratos mantenidos para negocios o intercambio</t>
  </si>
  <si>
    <t>Cobros de intereses financieros</t>
  </si>
  <si>
    <t>Otros cobros</t>
  </si>
  <si>
    <t>Pagos a otras entidades para financiar sus operaciones (Transferencias)</t>
  </si>
  <si>
    <t>Pagos a los trabajadores o en beneficio de ellos</t>
  </si>
  <si>
    <t>Pagos por contribuciones a la seguridad social</t>
  </si>
  <si>
    <t>Pagos de pensiones y jubilaciones</t>
  </si>
  <si>
    <t xml:space="preserve">Pagos a proveedores </t>
  </si>
  <si>
    <t>Pagos por contratos mantenidos para negocios o intercambio</t>
  </si>
  <si>
    <t xml:space="preserve">Pagos de intereses </t>
  </si>
  <si>
    <t>Depreciaciones</t>
  </si>
  <si>
    <t>Ajustes al flujo neto de efectivo de las actividades de operación</t>
  </si>
  <si>
    <t>Flujos de efectivo netos de las actividades de operación</t>
  </si>
  <si>
    <t>*</t>
  </si>
  <si>
    <t>Flujos de efectivo de las actividades de inversión (AINV)</t>
  </si>
  <si>
    <t xml:space="preserve">Cobros por venta de propiedad, planta y equipo </t>
  </si>
  <si>
    <t>Cobros por venta de intangibles y otros activos de largo plazo</t>
  </si>
  <si>
    <t>Cobros por títulos patrimoniales o de deuda y participación en asociaciones</t>
  </si>
  <si>
    <t>Cobros por reembolsos de préstamos o anticipos hechos a terceros</t>
  </si>
  <si>
    <t>Cobros por conceptos de contratos a futuro, a plazo, opciones o permuta</t>
  </si>
  <si>
    <t xml:space="preserve">Pagos por adquisición de propiedad, planta y equipo </t>
  </si>
  <si>
    <t>Pagos por adquisición de intangibles y otros activos de largo plazo</t>
  </si>
  <si>
    <t>Pagos por adquisición de títulos patrimoniales o de deuda y participación en asociaciones</t>
  </si>
  <si>
    <t>Pagos por otorgamiento de préstamos o anticipos hechos a terceros</t>
  </si>
  <si>
    <t>Pagos por conceptos de contratos a futuro, a plazo, opciones o permuta</t>
  </si>
  <si>
    <t>Pagos por costos de construcciones y desarrollos en proceso</t>
  </si>
  <si>
    <t xml:space="preserve">Otros pagos </t>
  </si>
  <si>
    <t xml:space="preserve">Flujos de efectivo netos por las actividades de inversión </t>
  </si>
  <si>
    <t>Flujos de efectivo de las actividades de financiación</t>
  </si>
  <si>
    <t>Incremento cuentas por pagar</t>
  </si>
  <si>
    <t>Cobro por préstamos, pagarés, hipotecas</t>
  </si>
  <si>
    <t>Incremento en cuentas pro Pagar Proveedores a Corto Plazo</t>
  </si>
  <si>
    <t>Cobro de los arrendatarios por contratos de arrendamientos financieros</t>
  </si>
  <si>
    <t>Disminución de Cuentas por pagar</t>
  </si>
  <si>
    <t>Pago reembolso en efectivo de los montos recibidos en préstamos, pagarés, hipotecas</t>
  </si>
  <si>
    <t>Pago reembolso de efectivo recibió por aporte de accionista</t>
  </si>
  <si>
    <t xml:space="preserve">Pago por distribución/dividendos al gobierno </t>
  </si>
  <si>
    <t>Pago de los arrendatarios por contratos de arrendamientos financieros</t>
  </si>
  <si>
    <t>Flujos de efectivo netos por las actividades de financiación</t>
  </si>
  <si>
    <t>Incremento/(Disminución) neta en efectivo y equivalentes al efectivo</t>
  </si>
  <si>
    <t xml:space="preserve">Efectivo y equivalentes al efectivo al principio del período </t>
  </si>
  <si>
    <t xml:space="preserve">Efectivo y equivalentes al efectivo al final del período </t>
  </si>
  <si>
    <t>13299182.04.</t>
  </si>
  <si>
    <t>Firma del Director Ejecutivo.</t>
  </si>
  <si>
    <t>Al 30 de Mayo de 2022</t>
  </si>
  <si>
    <t>Correspondiente al 31 del mes de mayo del año 2022</t>
  </si>
  <si>
    <t>Cuenta</t>
  </si>
  <si>
    <t>Operativa</t>
  </si>
  <si>
    <t>SIGEF</t>
  </si>
  <si>
    <t>TOTAL</t>
  </si>
  <si>
    <t>2.1.1.1.01</t>
  </si>
  <si>
    <t>2.1.1.2.08</t>
  </si>
  <si>
    <t>2.1.1.2.11</t>
  </si>
  <si>
    <t>2.1.1.5.02</t>
  </si>
  <si>
    <t>2.1.1.5.04</t>
  </si>
  <si>
    <t>2.1.2.2.04</t>
  </si>
  <si>
    <t>2.1.2.2.05</t>
  </si>
  <si>
    <t>2.1.4.2.04</t>
  </si>
  <si>
    <t>2.1.5.1.01</t>
  </si>
  <si>
    <t>2.1.5.2.01</t>
  </si>
  <si>
    <t>2.1.5.3.01</t>
  </si>
  <si>
    <t>2.2.1.3.01</t>
  </si>
  <si>
    <t>2.2.1.6.01</t>
  </si>
  <si>
    <t>2.2.1.8.01</t>
  </si>
  <si>
    <t>2.2.2.2.01</t>
  </si>
  <si>
    <t>2.2.3.1.01</t>
  </si>
  <si>
    <t>2.2.4.2.01</t>
  </si>
  <si>
    <t>2.2.5.3.02</t>
  </si>
  <si>
    <t>2.2.5.3.04</t>
  </si>
  <si>
    <t>2.2.7.2.06</t>
  </si>
  <si>
    <t>2.2.8.2.01</t>
  </si>
  <si>
    <t>2.2.8.7.01</t>
  </si>
  <si>
    <t>2.2.8.7.02</t>
  </si>
  <si>
    <t>2.2.8.7.06</t>
  </si>
  <si>
    <t>2.2.8.8.01</t>
  </si>
  <si>
    <t>2.2.9.2.03</t>
  </si>
  <si>
    <t>2.3.6.3.04</t>
  </si>
  <si>
    <t>2.3.7.1.04</t>
  </si>
  <si>
    <t>2.3.7.1.05</t>
  </si>
  <si>
    <t>2.3.9.5.01</t>
  </si>
  <si>
    <t>2.4.2.2.02</t>
  </si>
  <si>
    <t>2.6.1.1.01</t>
  </si>
  <si>
    <t>2.6.1.4.01</t>
  </si>
  <si>
    <t>2.6.1.9.01</t>
  </si>
  <si>
    <t>2.6.9.6.01</t>
  </si>
  <si>
    <t>Saldo al 31 de mayo del 2022</t>
  </si>
  <si>
    <r>
      <t>Impuestos</t>
    </r>
    <r>
      <rPr>
        <sz val="12"/>
        <color theme="1"/>
        <rFont val="Times New Roman"/>
        <family val="1"/>
      </rPr>
      <t> 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</si>
</sst>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(* #,##0_);_(* \(#,##0\);_(* &quot;-&quot;_);_(@_)"/>
    <numFmt numFmtId="43" formatCode="_(* #,##0.00_);_(* \(#,##0.00\);_(* &quot;-&quot;??_);_(@_)"/>
    <numFmt numFmtId="164" formatCode="[$-409]dd\-mmm\-yy;@"/>
    <numFmt numFmtId="165" formatCode="_(* #,##0_);_(* \(#,##0\);_(* &quot;-&quot;??_);_(@_)"/>
    <numFmt numFmtId="166" formatCode="_-* #,##0.00_-;\-* #,##0.00_-;_-* &quot;-&quot;??_-;_-@_-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rgb="FFFF0000"/>
      <name val="Times New Roman"/>
      <family val="1"/>
    </font>
    <font>
      <b/>
      <sz val="12"/>
      <color theme="1"/>
      <name val="Times New Roman"/>
      <family val="1"/>
    </font>
    <font>
      <sz val="10"/>
      <name val="Arial"/>
      <family val="2"/>
    </font>
    <font>
      <b/>
      <sz val="11"/>
      <color theme="0"/>
      <name val="Times New Roman"/>
      <family val="1"/>
    </font>
    <font>
      <b/>
      <sz val="11"/>
      <name val="Times New Roman"/>
      <family val="1"/>
    </font>
    <font>
      <b/>
      <sz val="11"/>
      <color theme="4" tint="-0.249977111117893"/>
      <name val="Times New Roman"/>
      <family val="1"/>
    </font>
    <font>
      <sz val="12"/>
      <color theme="1"/>
      <name val="Times New Roman"/>
      <family val="1"/>
    </font>
    <font>
      <b/>
      <sz val="10"/>
      <color theme="1"/>
      <name val="Times New Roman"/>
      <family val="1"/>
    </font>
    <font>
      <sz val="11"/>
      <name val="Times New Roman"/>
      <family val="1"/>
    </font>
    <font>
      <sz val="10"/>
      <name val="Times New Roman"/>
      <family val="1"/>
    </font>
    <font>
      <b/>
      <u/>
      <sz val="12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u/>
      <sz val="14"/>
      <color theme="1"/>
      <name val="Times New Roman"/>
      <family val="1"/>
    </font>
    <font>
      <u/>
      <sz val="14"/>
      <color theme="1"/>
      <name val="Times New Roman"/>
      <family val="1"/>
    </font>
    <font>
      <sz val="12"/>
      <color rgb="FF000000"/>
      <name val="Arial"/>
      <family val="2"/>
    </font>
    <font>
      <sz val="16"/>
      <color theme="1"/>
      <name val="Times New Roman"/>
      <family val="1"/>
    </font>
    <font>
      <u val="singleAccounting"/>
      <sz val="14"/>
      <color theme="1"/>
      <name val="Times New Roman"/>
      <family val="1"/>
    </font>
    <font>
      <sz val="12"/>
      <color theme="1"/>
      <name val="Calibri"/>
      <family val="2"/>
      <scheme val="minor"/>
    </font>
    <font>
      <u/>
      <sz val="11"/>
      <color theme="1"/>
      <name val="Times New Roman"/>
      <family val="1"/>
    </font>
    <font>
      <b/>
      <u val="singleAccounting"/>
      <sz val="14"/>
      <color theme="1"/>
      <name val="Times New Roman"/>
      <family val="1"/>
    </font>
    <font>
      <sz val="12"/>
      <color theme="0"/>
      <name val="Times New Roman"/>
      <family val="1"/>
    </font>
    <font>
      <b/>
      <sz val="11"/>
      <color theme="1"/>
      <name val="Calibri"/>
      <family val="2"/>
      <scheme val="minor"/>
    </font>
    <font>
      <sz val="12"/>
      <name val="Times New Roman"/>
      <family val="1"/>
    </font>
    <font>
      <b/>
      <sz val="12"/>
      <color theme="0"/>
      <name val="Times New Roman"/>
      <family val="1"/>
    </font>
    <font>
      <sz val="12"/>
      <color rgb="FF000000"/>
      <name val="Times New Roman"/>
      <family val="1"/>
    </font>
    <font>
      <sz val="12"/>
      <color indexed="8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</cellStyleXfs>
  <cellXfs count="188">
    <xf numFmtId="0" fontId="0" fillId="0" borderId="0" xfId="0"/>
    <xf numFmtId="0" fontId="2" fillId="0" borderId="0" xfId="0" applyFont="1" applyAlignment="1" applyProtection="1">
      <alignment vertical="center"/>
      <protection locked="0"/>
    </xf>
    <xf numFmtId="41" fontId="2" fillId="0" borderId="0" xfId="0" applyNumberFormat="1" applyFont="1" applyAlignment="1" applyProtection="1">
      <alignment vertical="center"/>
      <protection locked="0"/>
    </xf>
    <xf numFmtId="41" fontId="2" fillId="2" borderId="0" xfId="0" applyNumberFormat="1" applyFont="1" applyFill="1" applyAlignment="1" applyProtection="1">
      <alignment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41" fontId="4" fillId="0" borderId="0" xfId="0" applyNumberFormat="1" applyFont="1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4" fontId="2" fillId="0" borderId="0" xfId="0" applyNumberFormat="1" applyFont="1" applyAlignment="1" applyProtection="1">
      <alignment vertical="center"/>
      <protection locked="0"/>
    </xf>
    <xf numFmtId="41" fontId="0" fillId="0" borderId="0" xfId="0" applyNumberFormat="1" applyAlignment="1" applyProtection="1">
      <alignment vertical="center"/>
      <protection locked="0"/>
    </xf>
    <xf numFmtId="0" fontId="9" fillId="2" borderId="0" xfId="0" applyFont="1" applyFill="1" applyAlignment="1" applyProtection="1">
      <alignment horizontal="center" vertical="center"/>
      <protection locked="0"/>
    </xf>
    <xf numFmtId="0" fontId="9" fillId="2" borderId="0" xfId="0" applyFont="1" applyFill="1" applyAlignment="1" applyProtection="1">
      <alignment vertical="center"/>
      <protection locked="0"/>
    </xf>
    <xf numFmtId="37" fontId="8" fillId="0" borderId="0" xfId="2" applyNumberFormat="1" applyFont="1" applyFill="1" applyAlignment="1" applyProtection="1">
      <alignment horizontal="center" vertical="center"/>
      <protection locked="0"/>
    </xf>
    <xf numFmtId="37" fontId="8" fillId="0" borderId="0" xfId="2" applyNumberFormat="1" applyFont="1" applyFill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vertical="center"/>
      <protection locked="0"/>
    </xf>
    <xf numFmtId="164" fontId="3" fillId="0" borderId="0" xfId="0" applyNumberFormat="1" applyFont="1" applyAlignment="1" applyProtection="1">
      <alignment horizontal="center" vertical="center"/>
      <protection locked="0"/>
    </xf>
    <xf numFmtId="165" fontId="8" fillId="0" borderId="0" xfId="2" applyNumberFormat="1" applyFont="1" applyFill="1" applyAlignment="1" applyProtection="1">
      <alignment horizontal="center" vertical="center"/>
      <protection locked="0"/>
    </xf>
    <xf numFmtId="0" fontId="9" fillId="4" borderId="0" xfId="0" applyFont="1" applyFill="1" applyAlignment="1" applyProtection="1">
      <alignment horizontal="center" vertical="center"/>
      <protection locked="0"/>
    </xf>
    <xf numFmtId="0" fontId="9" fillId="4" borderId="0" xfId="0" applyFont="1" applyFill="1" applyAlignment="1" applyProtection="1">
      <alignment vertical="center"/>
      <protection locked="0"/>
    </xf>
    <xf numFmtId="41" fontId="0" fillId="2" borderId="0" xfId="0" applyNumberFormat="1" applyFill="1" applyAlignment="1" applyProtection="1">
      <alignment vertical="center"/>
      <protection locked="0"/>
    </xf>
    <xf numFmtId="43" fontId="2" fillId="0" borderId="0" xfId="0" applyNumberFormat="1" applyFont="1" applyAlignment="1" applyProtection="1">
      <alignment vertical="center"/>
      <protection locked="0"/>
    </xf>
    <xf numFmtId="41" fontId="10" fillId="0" borderId="0" xfId="0" applyNumberFormat="1" applyFont="1" applyAlignment="1" applyProtection="1">
      <alignment vertical="center"/>
      <protection locked="0"/>
    </xf>
    <xf numFmtId="41" fontId="2" fillId="6" borderId="0" xfId="0" applyNumberFormat="1" applyFont="1" applyFill="1" applyAlignment="1" applyProtection="1">
      <alignment vertical="center"/>
      <protection locked="0"/>
    </xf>
    <xf numFmtId="0" fontId="2" fillId="2" borderId="0" xfId="0" applyFont="1" applyFill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2" borderId="0" xfId="0" applyFill="1" applyAlignment="1" applyProtection="1">
      <alignment vertical="center"/>
      <protection locked="0"/>
    </xf>
    <xf numFmtId="0" fontId="11" fillId="0" borderId="0" xfId="0" applyFont="1" applyAlignment="1" applyProtection="1">
      <alignment vertical="center"/>
      <protection locked="0"/>
    </xf>
    <xf numFmtId="0" fontId="12" fillId="0" borderId="0" xfId="3" applyFont="1" applyAlignment="1" applyProtection="1">
      <alignment vertical="center"/>
      <protection locked="0"/>
    </xf>
    <xf numFmtId="0" fontId="13" fillId="0" borderId="0" xfId="3" applyFont="1" applyAlignment="1" applyProtection="1">
      <alignment vertical="center"/>
      <protection locked="0"/>
    </xf>
    <xf numFmtId="49" fontId="0" fillId="0" borderId="0" xfId="0" applyNumberForma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41" fontId="10" fillId="0" borderId="0" xfId="0" applyNumberFormat="1" applyFont="1" applyAlignment="1">
      <alignment vertical="center"/>
    </xf>
    <xf numFmtId="39" fontId="5" fillId="0" borderId="0" xfId="0" applyNumberFormat="1" applyFont="1" applyAlignment="1">
      <alignment vertical="center"/>
    </xf>
    <xf numFmtId="39" fontId="10" fillId="0" borderId="0" xfId="0" applyNumberFormat="1" applyFont="1" applyAlignment="1">
      <alignment vertical="center"/>
    </xf>
    <xf numFmtId="41" fontId="2" fillId="0" borderId="0" xfId="0" applyNumberFormat="1" applyFont="1" applyAlignment="1">
      <alignment vertical="center"/>
    </xf>
    <xf numFmtId="41" fontId="10" fillId="0" borderId="1" xfId="0" applyNumberFormat="1" applyFont="1" applyBorder="1" applyAlignment="1">
      <alignment vertical="center"/>
    </xf>
    <xf numFmtId="41" fontId="5" fillId="0" borderId="1" xfId="0" applyNumberFormat="1" applyFont="1" applyBorder="1" applyAlignment="1">
      <alignment vertical="center"/>
    </xf>
    <xf numFmtId="41" fontId="5" fillId="0" borderId="0" xfId="0" applyNumberFormat="1" applyFont="1" applyAlignment="1">
      <alignment vertical="center"/>
    </xf>
    <xf numFmtId="43" fontId="2" fillId="0" borderId="0" xfId="0" applyNumberFormat="1" applyFont="1" applyAlignment="1">
      <alignment vertical="center"/>
    </xf>
    <xf numFmtId="41" fontId="10" fillId="0" borderId="0" xfId="0" applyNumberFormat="1" applyFont="1" applyAlignment="1">
      <alignment horizontal="left" vertical="center"/>
    </xf>
    <xf numFmtId="43" fontId="10" fillId="0" borderId="0" xfId="0" applyNumberFormat="1" applyFont="1" applyAlignment="1">
      <alignment vertical="center"/>
    </xf>
    <xf numFmtId="37" fontId="2" fillId="0" borderId="0" xfId="0" applyNumberFormat="1" applyFont="1" applyAlignment="1">
      <alignment vertical="center"/>
    </xf>
    <xf numFmtId="37" fontId="0" fillId="0" borderId="0" xfId="0" applyNumberFormat="1" applyAlignment="1">
      <alignment vertical="center"/>
    </xf>
    <xf numFmtId="4" fontId="2" fillId="0" borderId="0" xfId="0" applyNumberFormat="1" applyFont="1" applyAlignment="1">
      <alignment vertical="center"/>
    </xf>
    <xf numFmtId="41" fontId="5" fillId="0" borderId="4" xfId="0" applyNumberFormat="1" applyFont="1" applyBorder="1" applyAlignment="1">
      <alignment vertical="center"/>
    </xf>
    <xf numFmtId="41" fontId="2" fillId="0" borderId="1" xfId="0" applyNumberFormat="1" applyFont="1" applyBorder="1" applyAlignment="1">
      <alignment vertical="center"/>
    </xf>
    <xf numFmtId="41" fontId="3" fillId="0" borderId="4" xfId="0" applyNumberFormat="1" applyFont="1" applyBorder="1" applyAlignment="1">
      <alignment vertical="center"/>
    </xf>
    <xf numFmtId="41" fontId="3" fillId="0" borderId="0" xfId="0" applyNumberFormat="1" applyFont="1" applyAlignment="1">
      <alignment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16" fillId="0" borderId="0" xfId="0" applyFont="1" applyAlignment="1">
      <alignment wrapText="1"/>
    </xf>
    <xf numFmtId="0" fontId="17" fillId="0" borderId="0" xfId="0" applyFont="1" applyAlignment="1">
      <alignment horizontal="left" vertical="center"/>
    </xf>
    <xf numFmtId="0" fontId="15" fillId="0" borderId="0" xfId="0" applyFont="1"/>
    <xf numFmtId="0" fontId="15" fillId="0" borderId="5" xfId="0" applyFont="1" applyBorder="1" applyAlignment="1">
      <alignment vertical="center"/>
    </xf>
    <xf numFmtId="0" fontId="17" fillId="0" borderId="5" xfId="0" applyFont="1" applyBorder="1" applyAlignment="1">
      <alignment horizontal="center" vertical="center" wrapText="1"/>
    </xf>
    <xf numFmtId="41" fontId="15" fillId="2" borderId="5" xfId="0" applyNumberFormat="1" applyFont="1" applyFill="1" applyBorder="1"/>
    <xf numFmtId="41" fontId="15" fillId="0" borderId="5" xfId="0" applyNumberFormat="1" applyFont="1" applyBorder="1"/>
    <xf numFmtId="41" fontId="15" fillId="0" borderId="5" xfId="0" applyNumberFormat="1" applyFont="1" applyBorder="1" applyAlignment="1">
      <alignment vertical="center"/>
    </xf>
    <xf numFmtId="0" fontId="2" fillId="0" borderId="0" xfId="0" applyFont="1"/>
    <xf numFmtId="41" fontId="0" fillId="0" borderId="0" xfId="0" applyNumberFormat="1" applyAlignment="1">
      <alignment vertical="center"/>
    </xf>
    <xf numFmtId="41" fontId="17" fillId="0" borderId="5" xfId="0" applyNumberFormat="1" applyFont="1" applyBorder="1"/>
    <xf numFmtId="41" fontId="17" fillId="0" borderId="5" xfId="0" applyNumberFormat="1" applyFont="1" applyBorder="1" applyAlignment="1">
      <alignment vertical="center"/>
    </xf>
    <xf numFmtId="0" fontId="15" fillId="0" borderId="6" xfId="0" applyFont="1" applyBorder="1" applyAlignment="1">
      <alignment vertical="center"/>
    </xf>
    <xf numFmtId="41" fontId="17" fillId="0" borderId="7" xfId="0" applyNumberFormat="1" applyFont="1" applyBorder="1"/>
    <xf numFmtId="41" fontId="15" fillId="0" borderId="0" xfId="0" applyNumberFormat="1" applyFont="1"/>
    <xf numFmtId="41" fontId="15" fillId="0" borderId="7" xfId="0" applyNumberFormat="1" applyFont="1" applyBorder="1"/>
    <xf numFmtId="41" fontId="15" fillId="0" borderId="0" xfId="0" applyNumberFormat="1" applyFont="1" applyAlignment="1">
      <alignment vertical="center"/>
    </xf>
    <xf numFmtId="41" fontId="17" fillId="0" borderId="7" xfId="0" applyNumberFormat="1" applyFont="1" applyBorder="1" applyAlignment="1">
      <alignment vertical="center"/>
    </xf>
    <xf numFmtId="0" fontId="15" fillId="0" borderId="5" xfId="0" applyFont="1" applyBorder="1" applyAlignment="1">
      <alignment vertical="center" wrapText="1"/>
    </xf>
    <xf numFmtId="41" fontId="0" fillId="0" borderId="0" xfId="0" applyNumberFormat="1"/>
    <xf numFmtId="0" fontId="15" fillId="0" borderId="5" xfId="0" applyFont="1" applyBorder="1" applyAlignment="1">
      <alignment wrapText="1"/>
    </xf>
    <xf numFmtId="4" fontId="0" fillId="0" borderId="0" xfId="0" applyNumberFormat="1"/>
    <xf numFmtId="43" fontId="0" fillId="0" borderId="0" xfId="0" applyNumberFormat="1" applyAlignment="1">
      <alignment vertical="center"/>
    </xf>
    <xf numFmtId="166" fontId="0" fillId="0" borderId="0" xfId="0" applyNumberFormat="1" applyAlignment="1">
      <alignment vertical="center"/>
    </xf>
    <xf numFmtId="0" fontId="17" fillId="0" borderId="5" xfId="0" applyFont="1" applyBorder="1" applyAlignment="1">
      <alignment vertical="center"/>
    </xf>
    <xf numFmtId="41" fontId="2" fillId="0" borderId="0" xfId="0" applyNumberFormat="1" applyFont="1"/>
    <xf numFmtId="43" fontId="15" fillId="0" borderId="0" xfId="0" applyNumberFormat="1" applyFont="1" applyAlignment="1">
      <alignment vertical="center"/>
    </xf>
    <xf numFmtId="43" fontId="15" fillId="0" borderId="0" xfId="1" applyFont="1" applyAlignment="1">
      <alignment vertical="center"/>
    </xf>
    <xf numFmtId="0" fontId="18" fillId="0" borderId="0" xfId="0" applyFont="1" applyAlignment="1">
      <alignment horizontal="center" vertical="center"/>
    </xf>
    <xf numFmtId="17" fontId="2" fillId="0" borderId="8" xfId="0" applyNumberFormat="1" applyFont="1" applyBorder="1" applyAlignment="1">
      <alignment horizontal="center" vertical="center"/>
    </xf>
    <xf numFmtId="17" fontId="2" fillId="0" borderId="9" xfId="0" applyNumberFormat="1" applyFont="1" applyBorder="1" applyAlignment="1">
      <alignment horizontal="center" vertical="center"/>
    </xf>
    <xf numFmtId="17" fontId="2" fillId="0" borderId="10" xfId="0" applyNumberFormat="1" applyFont="1" applyBorder="1" applyAlignment="1">
      <alignment horizontal="center" vertical="center"/>
    </xf>
    <xf numFmtId="0" fontId="17" fillId="0" borderId="0" xfId="0" applyFont="1" applyAlignment="1">
      <alignment horizontal="justify" vertical="center"/>
    </xf>
    <xf numFmtId="39" fontId="17" fillId="0" borderId="0" xfId="0" applyNumberFormat="1" applyFont="1" applyAlignment="1">
      <alignment vertical="center"/>
    </xf>
    <xf numFmtId="39" fontId="15" fillId="0" borderId="0" xfId="0" applyNumberFormat="1" applyFont="1" applyAlignment="1">
      <alignment vertical="center"/>
    </xf>
    <xf numFmtId="17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3" fontId="15" fillId="0" borderId="0" xfId="0" applyNumberFormat="1" applyFont="1" applyAlignment="1">
      <alignment vertical="center"/>
    </xf>
    <xf numFmtId="43" fontId="0" fillId="0" borderId="0" xfId="1" applyFont="1"/>
    <xf numFmtId="0" fontId="15" fillId="0" borderId="0" xfId="0" applyFont="1" applyAlignment="1">
      <alignment vertical="center" wrapText="1"/>
    </xf>
    <xf numFmtId="41" fontId="17" fillId="0" borderId="0" xfId="0" applyNumberFormat="1" applyFont="1"/>
    <xf numFmtId="43" fontId="0" fillId="0" borderId="0" xfId="0" applyNumberFormat="1"/>
    <xf numFmtId="3" fontId="17" fillId="0" borderId="0" xfId="0" applyNumberFormat="1" applyFont="1" applyAlignment="1">
      <alignment vertical="center"/>
    </xf>
    <xf numFmtId="43" fontId="0" fillId="0" borderId="0" xfId="1" applyFont="1" applyAlignment="1">
      <alignment vertical="center"/>
    </xf>
    <xf numFmtId="3" fontId="0" fillId="0" borderId="0" xfId="0" applyNumberFormat="1" applyAlignment="1">
      <alignment vertical="center"/>
    </xf>
    <xf numFmtId="3" fontId="2" fillId="0" borderId="0" xfId="0" applyNumberFormat="1" applyFont="1"/>
    <xf numFmtId="3" fontId="15" fillId="0" borderId="0" xfId="0" applyNumberFormat="1" applyFont="1"/>
    <xf numFmtId="3" fontId="17" fillId="0" borderId="0" xfId="0" applyNumberFormat="1" applyFont="1"/>
    <xf numFmtId="0" fontId="15" fillId="0" borderId="0" xfId="0" applyFont="1" applyAlignment="1">
      <alignment wrapText="1"/>
    </xf>
    <xf numFmtId="41" fontId="17" fillId="0" borderId="0" xfId="0" applyNumberFormat="1" applyFont="1" applyAlignment="1">
      <alignment vertical="center"/>
    </xf>
    <xf numFmtId="37" fontId="0" fillId="0" borderId="0" xfId="0" applyNumberFormat="1"/>
    <xf numFmtId="0" fontId="19" fillId="0" borderId="0" xfId="0" applyFont="1" applyAlignment="1">
      <alignment horizontal="left" vertical="center"/>
    </xf>
    <xf numFmtId="0" fontId="17" fillId="0" borderId="0" xfId="0" applyFont="1" applyAlignment="1">
      <alignment vertical="center"/>
    </xf>
    <xf numFmtId="166" fontId="2" fillId="0" borderId="0" xfId="0" applyNumberFormat="1" applyFont="1" applyAlignment="1">
      <alignment vertical="center"/>
    </xf>
    <xf numFmtId="0" fontId="15" fillId="0" borderId="0" xfId="0" applyFont="1" applyAlignment="1">
      <alignment horizontal="justify" vertical="center"/>
    </xf>
    <xf numFmtId="41" fontId="17" fillId="0" borderId="0" xfId="0" applyNumberFormat="1" applyFont="1" applyAlignment="1">
      <alignment horizontal="justify" vertical="center"/>
    </xf>
    <xf numFmtId="43" fontId="17" fillId="0" borderId="0" xfId="0" applyNumberFormat="1" applyFont="1" applyAlignment="1">
      <alignment vertical="center"/>
    </xf>
    <xf numFmtId="41" fontId="15" fillId="2" borderId="0" xfId="0" applyNumberFormat="1" applyFont="1" applyFill="1"/>
    <xf numFmtId="41" fontId="17" fillId="2" borderId="0" xfId="0" applyNumberFormat="1" applyFont="1" applyFill="1"/>
    <xf numFmtId="43" fontId="2" fillId="0" borderId="0" xfId="0" applyNumberFormat="1" applyFont="1"/>
    <xf numFmtId="43" fontId="20" fillId="0" borderId="0" xfId="4" applyFont="1" applyFill="1" applyBorder="1" applyAlignment="1">
      <alignment horizontal="left" vertical="center"/>
    </xf>
    <xf numFmtId="0" fontId="21" fillId="0" borderId="0" xfId="0" applyFont="1" applyAlignment="1">
      <alignment vertical="center" wrapText="1"/>
    </xf>
    <xf numFmtId="41" fontId="21" fillId="0" borderId="0" xfId="0" applyNumberFormat="1" applyFont="1"/>
    <xf numFmtId="0" fontId="19" fillId="0" borderId="0" xfId="0" applyFont="1" applyAlignment="1">
      <alignment horizontal="left" vertical="center" indent="5"/>
    </xf>
    <xf numFmtId="0" fontId="17" fillId="0" borderId="0" xfId="0" applyFont="1" applyAlignment="1">
      <alignment horizontal="justify" vertical="top"/>
    </xf>
    <xf numFmtId="41" fontId="22" fillId="0" borderId="0" xfId="0" applyNumberFormat="1" applyFont="1" applyAlignment="1">
      <alignment vertical="center"/>
    </xf>
    <xf numFmtId="43" fontId="15" fillId="0" borderId="0" xfId="0" applyNumberFormat="1" applyFont="1"/>
    <xf numFmtId="0" fontId="2" fillId="0" borderId="0" xfId="0" applyFont="1" applyAlignment="1">
      <alignment wrapText="1"/>
    </xf>
    <xf numFmtId="4" fontId="23" fillId="0" borderId="0" xfId="0" applyNumberFormat="1" applyFont="1"/>
    <xf numFmtId="0" fontId="24" fillId="0" borderId="0" xfId="0" applyFont="1" applyAlignment="1">
      <alignment horizontal="left" vertical="center" indent="5"/>
    </xf>
    <xf numFmtId="43" fontId="10" fillId="0" borderId="0" xfId="0" applyNumberFormat="1" applyFont="1"/>
    <xf numFmtId="0" fontId="17" fillId="0" borderId="0" xfId="0" applyFont="1"/>
    <xf numFmtId="41" fontId="25" fillId="0" borderId="0" xfId="0" applyNumberFormat="1" applyFont="1" applyAlignment="1">
      <alignment vertical="center"/>
    </xf>
    <xf numFmtId="41" fontId="17" fillId="0" borderId="4" xfId="0" applyNumberFormat="1" applyFont="1" applyBorder="1" applyAlignment="1">
      <alignment vertical="center"/>
    </xf>
    <xf numFmtId="0" fontId="15" fillId="0" borderId="0" xfId="0" applyFont="1" applyAlignment="1">
      <alignment horizontal="left" vertical="center"/>
    </xf>
    <xf numFmtId="43" fontId="2" fillId="0" borderId="0" xfId="1" applyFont="1" applyBorder="1" applyAlignment="1">
      <alignment vertical="center"/>
    </xf>
    <xf numFmtId="43" fontId="2" fillId="0" borderId="0" xfId="1" applyFont="1" applyAlignment="1">
      <alignment vertical="center"/>
    </xf>
    <xf numFmtId="0" fontId="27" fillId="0" borderId="0" xfId="0" applyFont="1" applyAlignment="1">
      <alignment horizontal="center"/>
    </xf>
    <xf numFmtId="0" fontId="0" fillId="0" borderId="0" xfId="0" applyAlignment="1">
      <alignment horizontal="center"/>
    </xf>
    <xf numFmtId="43" fontId="0" fillId="0" borderId="0" xfId="1" applyFont="1" applyFill="1"/>
    <xf numFmtId="43" fontId="27" fillId="0" borderId="0" xfId="1" applyFont="1" applyFill="1"/>
    <xf numFmtId="43" fontId="27" fillId="0" borderId="0" xfId="0" applyNumberFormat="1" applyFont="1"/>
    <xf numFmtId="0" fontId="5" fillId="0" borderId="0" xfId="0" applyFont="1" applyAlignment="1" applyProtection="1">
      <alignment horizontal="center" vertical="center"/>
      <protection locked="0"/>
    </xf>
    <xf numFmtId="41" fontId="10" fillId="0" borderId="1" xfId="0" applyNumberFormat="1" applyFont="1" applyFill="1" applyBorder="1" applyAlignment="1">
      <alignment vertical="center"/>
    </xf>
    <xf numFmtId="4" fontId="28" fillId="0" borderId="0" xfId="0" applyNumberFormat="1" applyFont="1" applyFill="1" applyAlignment="1" applyProtection="1">
      <alignment vertical="center"/>
      <protection locked="0"/>
    </xf>
    <xf numFmtId="49" fontId="10" fillId="0" borderId="0" xfId="0" applyNumberFormat="1" applyFont="1" applyAlignment="1" applyProtection="1">
      <alignment horizontal="center" vertical="center"/>
      <protection locked="0"/>
    </xf>
    <xf numFmtId="49" fontId="10" fillId="0" borderId="0" xfId="0" applyNumberFormat="1" applyFont="1" applyAlignment="1" applyProtection="1">
      <alignment vertical="center"/>
      <protection locked="0"/>
    </xf>
    <xf numFmtId="0" fontId="10" fillId="0" borderId="0" xfId="0" applyFont="1" applyAlignment="1" applyProtection="1">
      <alignment vertical="center"/>
      <protection locked="0"/>
    </xf>
    <xf numFmtId="3" fontId="10" fillId="0" borderId="0" xfId="0" applyNumberFormat="1" applyFont="1" applyAlignment="1" applyProtection="1">
      <alignment vertical="center"/>
      <protection locked="0"/>
    </xf>
    <xf numFmtId="0" fontId="10" fillId="0" borderId="0" xfId="0" applyFont="1" applyProtection="1">
      <protection locked="0"/>
    </xf>
    <xf numFmtId="0" fontId="26" fillId="0" borderId="0" xfId="0" applyFont="1" applyAlignment="1" applyProtection="1">
      <alignment vertical="center"/>
      <protection locked="0"/>
    </xf>
    <xf numFmtId="41" fontId="10" fillId="2" borderId="0" xfId="0" applyNumberFormat="1" applyFont="1" applyFill="1" applyAlignment="1" applyProtection="1">
      <alignment vertical="center"/>
      <protection locked="0"/>
    </xf>
    <xf numFmtId="41" fontId="26" fillId="0" borderId="0" xfId="0" applyNumberFormat="1" applyFont="1" applyAlignment="1" applyProtection="1">
      <alignment vertical="center"/>
      <protection locked="0"/>
    </xf>
    <xf numFmtId="4" fontId="10" fillId="0" borderId="0" xfId="0" applyNumberFormat="1" applyFont="1" applyProtection="1">
      <protection locked="0"/>
    </xf>
    <xf numFmtId="41" fontId="10" fillId="0" borderId="0" xfId="0" applyNumberFormat="1" applyFont="1" applyProtection="1">
      <protection locked="0"/>
    </xf>
    <xf numFmtId="43" fontId="10" fillId="0" borderId="0" xfId="0" applyNumberFormat="1" applyFont="1" applyProtection="1">
      <protection locked="0"/>
    </xf>
    <xf numFmtId="1" fontId="14" fillId="0" borderId="0" xfId="0" applyNumberFormat="1" applyFont="1" applyAlignment="1" applyProtection="1">
      <alignment horizontal="center" vertical="center"/>
      <protection locked="0"/>
    </xf>
    <xf numFmtId="0" fontId="29" fillId="3" borderId="0" xfId="0" applyFont="1" applyFill="1" applyAlignment="1" applyProtection="1">
      <alignment vertical="center"/>
      <protection locked="0"/>
    </xf>
    <xf numFmtId="0" fontId="10" fillId="5" borderId="0" xfId="0" applyFont="1" applyFill="1" applyAlignment="1" applyProtection="1">
      <alignment vertical="center"/>
      <protection locked="0"/>
    </xf>
    <xf numFmtId="4" fontId="10" fillId="0" borderId="0" xfId="0" applyNumberFormat="1" applyFont="1" applyAlignment="1" applyProtection="1">
      <alignment vertical="center"/>
      <protection locked="0"/>
    </xf>
    <xf numFmtId="43" fontId="10" fillId="0" borderId="0" xfId="0" applyNumberFormat="1" applyFont="1" applyAlignment="1" applyProtection="1">
      <alignment vertical="center"/>
      <protection locked="0"/>
    </xf>
    <xf numFmtId="0" fontId="10" fillId="2" borderId="0" xfId="0" applyFont="1" applyFill="1" applyAlignment="1" applyProtection="1">
      <alignment vertical="center"/>
      <protection locked="0"/>
    </xf>
    <xf numFmtId="49" fontId="10" fillId="2" borderId="0" xfId="0" applyNumberFormat="1" applyFont="1" applyFill="1" applyAlignment="1" applyProtection="1">
      <alignment horizontal="center" vertical="center"/>
      <protection locked="0"/>
    </xf>
    <xf numFmtId="49" fontId="10" fillId="2" borderId="0" xfId="0" applyNumberFormat="1" applyFont="1" applyFill="1" applyAlignment="1" applyProtection="1">
      <alignment vertical="center"/>
      <protection locked="0"/>
    </xf>
    <xf numFmtId="4" fontId="10" fillId="0" borderId="0" xfId="0" applyNumberFormat="1" applyFont="1" applyFill="1" applyAlignment="1" applyProtection="1">
      <alignment vertical="center"/>
      <protection locked="0"/>
    </xf>
    <xf numFmtId="0" fontId="10" fillId="2" borderId="0" xfId="0" applyFont="1" applyFill="1" applyProtection="1">
      <protection locked="0"/>
    </xf>
    <xf numFmtId="0" fontId="30" fillId="0" borderId="0" xfId="0" applyFont="1" applyAlignment="1" applyProtection="1">
      <alignment vertical="center"/>
      <protection locked="0"/>
    </xf>
    <xf numFmtId="0" fontId="28" fillId="0" borderId="2" xfId="0" applyFont="1" applyBorder="1" applyAlignment="1" applyProtection="1">
      <alignment horizontal="right" vertical="center"/>
      <protection locked="0"/>
    </xf>
    <xf numFmtId="4" fontId="10" fillId="0" borderId="0" xfId="1" applyNumberFormat="1" applyFont="1" applyFill="1" applyBorder="1" applyProtection="1">
      <protection locked="0"/>
    </xf>
    <xf numFmtId="0" fontId="28" fillId="0" borderId="2" xfId="0" applyFont="1" applyBorder="1" applyAlignment="1" applyProtection="1">
      <alignment horizontal="left" vertical="center"/>
      <protection locked="0"/>
    </xf>
    <xf numFmtId="0" fontId="28" fillId="0" borderId="0" xfId="0" applyFont="1" applyAlignment="1" applyProtection="1">
      <alignment horizontal="right" vertical="center"/>
      <protection locked="0"/>
    </xf>
    <xf numFmtId="0" fontId="28" fillId="0" borderId="0" xfId="3" applyFont="1" applyAlignment="1" applyProtection="1">
      <alignment vertical="center"/>
      <protection locked="0"/>
    </xf>
    <xf numFmtId="4" fontId="28" fillId="0" borderId="0" xfId="4" applyNumberFormat="1" applyFont="1" applyFill="1" applyBorder="1" applyAlignment="1" applyProtection="1">
      <alignment horizontal="right" vertical="center" wrapText="1"/>
      <protection locked="0"/>
    </xf>
    <xf numFmtId="1" fontId="31" fillId="0" borderId="3" xfId="0" applyNumberFormat="1" applyFont="1" applyBorder="1" applyAlignment="1" applyProtection="1">
      <alignment vertical="center"/>
      <protection locked="0"/>
    </xf>
    <xf numFmtId="1" fontId="31" fillId="0" borderId="0" xfId="0" applyNumberFormat="1" applyFont="1" applyAlignment="1" applyProtection="1">
      <alignment vertical="center"/>
      <protection locked="0"/>
    </xf>
    <xf numFmtId="0" fontId="28" fillId="0" borderId="0" xfId="0" applyFont="1" applyAlignment="1" applyProtection="1">
      <alignment horizontal="left" vertical="center"/>
      <protection locked="0"/>
    </xf>
    <xf numFmtId="0" fontId="28" fillId="0" borderId="0" xfId="0" applyFont="1" applyAlignment="1" applyProtection="1">
      <alignment vertical="center"/>
      <protection locked="0"/>
    </xf>
    <xf numFmtId="37" fontId="10" fillId="0" borderId="0" xfId="0" applyNumberFormat="1" applyFont="1" applyAlignment="1" applyProtection="1">
      <alignment vertical="center"/>
      <protection locked="0"/>
    </xf>
    <xf numFmtId="0" fontId="10" fillId="0" borderId="0" xfId="0" applyFont="1" applyAlignment="1" applyProtection="1">
      <alignment horizontal="right" vertical="center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37" fontId="8" fillId="0" borderId="1" xfId="2" applyNumberFormat="1" applyFont="1" applyFill="1" applyBorder="1" applyAlignment="1" applyProtection="1">
      <alignment horizontal="center" vertical="center"/>
      <protection locked="0"/>
    </xf>
    <xf numFmtId="37" fontId="8" fillId="0" borderId="0" xfId="0" applyNumberFormat="1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37" fontId="7" fillId="3" borderId="0" xfId="2" applyNumberFormat="1" applyFont="1" applyFill="1" applyAlignment="1" applyProtection="1">
      <alignment horizontal="center" vertical="center" textRotation="90" wrapText="1"/>
      <protection locked="0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 wrapText="1"/>
    </xf>
    <xf numFmtId="0" fontId="17" fillId="0" borderId="0" xfId="0" applyFont="1" applyAlignment="1">
      <alignment horizontal="center"/>
    </xf>
  </cellXfs>
  <cellStyles count="5">
    <cellStyle name="Comma_Hoja de trabajo flujo 2007" xfId="2" xr:uid="{472CE12D-A0C8-4A64-BF77-52A3ADC24BE1}"/>
    <cellStyle name="Millares" xfId="1" builtinId="3"/>
    <cellStyle name="Millares 2" xfId="4" xr:uid="{8BB17177-5126-4890-8455-8E6B80EDA207}"/>
    <cellStyle name="Normal" xfId="0" builtinId="0"/>
    <cellStyle name="Normal 2 2" xfId="3" xr:uid="{805C4F5F-0A6F-4D4A-B2BF-3610178F994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2449286</xdr:colOff>
      <xdr:row>0</xdr:row>
      <xdr:rowOff>61851</xdr:rowOff>
    </xdr:from>
    <xdr:to>
      <xdr:col>0</xdr:col>
      <xdr:colOff>4906736</xdr:colOff>
      <xdr:row>0</xdr:row>
      <xdr:rowOff>1281051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BB9129F-EFBF-47F3-882D-1E649F812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49286" y="61851"/>
          <a:ext cx="2457450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ntabilidad/Downloads/INFORME%20FEBRERO%20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ctivo-fijo/Desktop/INFORME%20LIBRE%20ACCESO%202022/INFORME%20FINANCIERO%20MARZO%20202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quezada/AppData/Local/Temp/Temp1_DEFENSA%20CIVIL%202018%20(4).zip/DEFENSA%20CIVIL%202018/EEFF%20DEFENSA%20CIVIL%202018%20VIKI%20ENTREGA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quezada/Desktop/DEFENSA%20CIVIL%202018/Estados%20Financieros%20Defensa%20Civil%20%20PARA%20ENVIAR2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ctivo-fijo/Desktop/INFORMEFINANCIERO%20LIBRE%20ACCESO%202021/INFORME%20%20FEBRERO%202021.%20CORREGIDA.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RO"/>
      <sheetName val="FEBRERO"/>
      <sheetName val="ESF - Situación Financiera"/>
      <sheetName val="BC Balance Comprobación"/>
      <sheetName val="ECANP-Cambio Patrimonio"/>
    </sheetNames>
    <sheetDataSet>
      <sheetData sheetId="0" refreshError="1"/>
      <sheetData sheetId="1" refreshError="1"/>
      <sheetData sheetId="2" refreshError="1">
        <row r="19">
          <cell r="H19">
            <v>2021</v>
          </cell>
        </row>
      </sheetData>
      <sheetData sheetId="3" refreshError="1">
        <row r="2">
          <cell r="D2">
            <v>0</v>
          </cell>
          <cell r="F2">
            <v>0</v>
          </cell>
        </row>
        <row r="3">
          <cell r="D3">
            <v>139012162.53999999</v>
          </cell>
          <cell r="F3">
            <v>6203922.629999999</v>
          </cell>
        </row>
        <row r="4">
          <cell r="D4"/>
          <cell r="F4"/>
        </row>
        <row r="5">
          <cell r="D5"/>
          <cell r="F5"/>
        </row>
        <row r="6">
          <cell r="D6"/>
          <cell r="F6"/>
        </row>
        <row r="7">
          <cell r="D7"/>
          <cell r="F7"/>
        </row>
        <row r="8">
          <cell r="D8"/>
          <cell r="F8"/>
        </row>
        <row r="9">
          <cell r="D9"/>
          <cell r="F9">
            <v>-10918969.299999999</v>
          </cell>
        </row>
        <row r="11">
          <cell r="A11" t="str">
            <v>Mapeo</v>
          </cell>
          <cell r="D11">
            <v>2022</v>
          </cell>
          <cell r="F11">
            <v>2021</v>
          </cell>
        </row>
        <row r="12">
          <cell r="A12" t="str">
            <v>**</v>
          </cell>
          <cell r="D12"/>
          <cell r="F12"/>
        </row>
        <row r="13">
          <cell r="A13" t="str">
            <v>0001</v>
          </cell>
          <cell r="D13"/>
          <cell r="F13"/>
        </row>
        <row r="14">
          <cell r="A14" t="str">
            <v>0001</v>
          </cell>
          <cell r="D14">
            <v>6509040.5499999998</v>
          </cell>
          <cell r="F14"/>
        </row>
        <row r="15">
          <cell r="A15"/>
          <cell r="D15">
            <v>-416700.07</v>
          </cell>
          <cell r="F15"/>
        </row>
        <row r="16">
          <cell r="A16" t="str">
            <v>0001</v>
          </cell>
          <cell r="D16">
            <v>10296496.189999999</v>
          </cell>
          <cell r="F16"/>
        </row>
        <row r="17">
          <cell r="A17" t="str">
            <v>0001</v>
          </cell>
          <cell r="D17">
            <v>1275461.1100000001</v>
          </cell>
          <cell r="F17"/>
        </row>
        <row r="18">
          <cell r="A18" t="str">
            <v>0004</v>
          </cell>
          <cell r="D18">
            <v>0</v>
          </cell>
          <cell r="F18"/>
        </row>
        <row r="19">
          <cell r="A19" t="str">
            <v>0005</v>
          </cell>
          <cell r="D19">
            <v>1032932.73</v>
          </cell>
          <cell r="F19"/>
        </row>
        <row r="20">
          <cell r="A20" t="str">
            <v>0006</v>
          </cell>
          <cell r="D20"/>
          <cell r="F20"/>
        </row>
        <row r="21">
          <cell r="A21" t="str">
            <v>0012</v>
          </cell>
          <cell r="D21">
            <v>177720623.99000001</v>
          </cell>
          <cell r="F21"/>
        </row>
        <row r="22">
          <cell r="A22" t="str">
            <v>0012</v>
          </cell>
          <cell r="D22">
            <v>-115744682.3</v>
          </cell>
          <cell r="F22">
            <v>-6323255.1400000006</v>
          </cell>
        </row>
        <row r="23">
          <cell r="A23" t="str">
            <v>0013</v>
          </cell>
          <cell r="D23"/>
          <cell r="F23"/>
        </row>
        <row r="24">
          <cell r="A24" t="str">
            <v>0013</v>
          </cell>
          <cell r="D24"/>
          <cell r="F24"/>
        </row>
        <row r="25">
          <cell r="A25"/>
          <cell r="D25"/>
          <cell r="F25"/>
        </row>
        <row r="26">
          <cell r="A26" t="str">
            <v>**</v>
          </cell>
          <cell r="D26"/>
          <cell r="F26"/>
        </row>
        <row r="27">
          <cell r="A27" t="str">
            <v>0016</v>
          </cell>
          <cell r="D27">
            <v>-11393772.779999999</v>
          </cell>
          <cell r="F27"/>
        </row>
        <row r="28">
          <cell r="A28" t="str">
            <v>0019</v>
          </cell>
          <cell r="D28">
            <v>-474803.48</v>
          </cell>
          <cell r="F28"/>
        </row>
        <row r="29">
          <cell r="A29"/>
          <cell r="D29"/>
          <cell r="F29"/>
        </row>
        <row r="30">
          <cell r="A30" t="str">
            <v>**</v>
          </cell>
          <cell r="D30"/>
          <cell r="F30"/>
        </row>
        <row r="31">
          <cell r="A31"/>
          <cell r="D31">
            <v>51695326</v>
          </cell>
          <cell r="F31"/>
        </row>
        <row r="32">
          <cell r="A32" t="str">
            <v>0033</v>
          </cell>
          <cell r="D32">
            <v>18555016.600000001</v>
          </cell>
          <cell r="F32"/>
        </row>
        <row r="33">
          <cell r="A33" t="str">
            <v>0032</v>
          </cell>
          <cell r="D33">
            <v>1752022.320000004</v>
          </cell>
          <cell r="F33"/>
        </row>
        <row r="34">
          <cell r="A34"/>
          <cell r="D34"/>
          <cell r="F34"/>
        </row>
        <row r="35">
          <cell r="A35"/>
          <cell r="D35"/>
          <cell r="F35"/>
        </row>
        <row r="36">
          <cell r="A36" t="str">
            <v>**</v>
          </cell>
          <cell r="D36"/>
          <cell r="F36"/>
        </row>
        <row r="37">
          <cell r="A37" t="str">
            <v>0036</v>
          </cell>
          <cell r="D37">
            <v>-1075000</v>
          </cell>
          <cell r="F37"/>
          <cell r="M37">
            <v>0</v>
          </cell>
        </row>
        <row r="38">
          <cell r="A38" t="str">
            <v>0037</v>
          </cell>
          <cell r="D38">
            <v>-15210014.550000001</v>
          </cell>
          <cell r="F38"/>
          <cell r="M38">
            <v>0</v>
          </cell>
        </row>
        <row r="39">
          <cell r="A39" t="str">
            <v>0038</v>
          </cell>
          <cell r="D39">
            <v>-135000</v>
          </cell>
          <cell r="M39"/>
        </row>
        <row r="40">
          <cell r="A40"/>
          <cell r="D40"/>
          <cell r="F40"/>
        </row>
        <row r="41">
          <cell r="A41" t="str">
            <v>**</v>
          </cell>
          <cell r="D41"/>
          <cell r="F41"/>
        </row>
        <row r="42">
          <cell r="A42"/>
          <cell r="D42"/>
          <cell r="F42"/>
        </row>
        <row r="43">
          <cell r="A43"/>
          <cell r="D43"/>
          <cell r="F43"/>
        </row>
        <row r="44">
          <cell r="A44" t="str">
            <v>0039</v>
          </cell>
          <cell r="D44">
            <v>9200834.129999999</v>
          </cell>
          <cell r="F44"/>
        </row>
        <row r="45">
          <cell r="A45" t="str">
            <v>0039</v>
          </cell>
          <cell r="D45"/>
          <cell r="F45"/>
        </row>
        <row r="46">
          <cell r="A46" t="str">
            <v>0039</v>
          </cell>
          <cell r="D46"/>
          <cell r="F46"/>
        </row>
        <row r="47">
          <cell r="A47" t="str">
            <v>0039</v>
          </cell>
          <cell r="D47"/>
          <cell r="F47"/>
        </row>
        <row r="48">
          <cell r="A48" t="str">
            <v>0039</v>
          </cell>
          <cell r="D48"/>
          <cell r="F48"/>
        </row>
        <row r="49">
          <cell r="A49" t="str">
            <v>0039</v>
          </cell>
          <cell r="D49"/>
          <cell r="F49"/>
        </row>
        <row r="50">
          <cell r="A50"/>
          <cell r="D50"/>
          <cell r="F50"/>
        </row>
        <row r="51">
          <cell r="A51" t="str">
            <v>0039</v>
          </cell>
          <cell r="D51"/>
          <cell r="F51"/>
        </row>
        <row r="52">
          <cell r="A52" t="str">
            <v>0039</v>
          </cell>
          <cell r="D52"/>
          <cell r="F52"/>
        </row>
        <row r="53">
          <cell r="A53" t="str">
            <v>0039</v>
          </cell>
          <cell r="D53"/>
          <cell r="F53"/>
        </row>
        <row r="54">
          <cell r="A54"/>
          <cell r="D54"/>
          <cell r="F54"/>
        </row>
        <row r="55">
          <cell r="A55" t="str">
            <v>0039</v>
          </cell>
          <cell r="D55"/>
          <cell r="F55"/>
        </row>
        <row r="56">
          <cell r="A56"/>
          <cell r="D56"/>
          <cell r="F56"/>
        </row>
        <row r="57">
          <cell r="A57" t="str">
            <v>0039</v>
          </cell>
          <cell r="D57">
            <v>1262480.7</v>
          </cell>
          <cell r="F57"/>
        </row>
        <row r="58">
          <cell r="A58" t="str">
            <v>0039</v>
          </cell>
          <cell r="D58"/>
          <cell r="F58"/>
        </row>
        <row r="59">
          <cell r="A59" t="str">
            <v>0039</v>
          </cell>
          <cell r="D59"/>
          <cell r="F59"/>
        </row>
        <row r="60">
          <cell r="A60"/>
          <cell r="D60"/>
          <cell r="F60"/>
        </row>
        <row r="61">
          <cell r="A61"/>
          <cell r="D61"/>
          <cell r="F61"/>
        </row>
        <row r="62">
          <cell r="A62" t="str">
            <v>0044</v>
          </cell>
          <cell r="D62"/>
          <cell r="F62"/>
        </row>
        <row r="63">
          <cell r="A63" t="str">
            <v>0044</v>
          </cell>
          <cell r="D63"/>
          <cell r="F63"/>
        </row>
        <row r="64">
          <cell r="A64" t="str">
            <v>0044</v>
          </cell>
          <cell r="D64"/>
          <cell r="F64"/>
        </row>
        <row r="65">
          <cell r="A65" t="str">
            <v>0044</v>
          </cell>
          <cell r="D65"/>
          <cell r="F65"/>
        </row>
        <row r="66">
          <cell r="A66" t="str">
            <v>0044</v>
          </cell>
          <cell r="D66"/>
          <cell r="F66"/>
        </row>
        <row r="67">
          <cell r="A67"/>
          <cell r="D67"/>
          <cell r="F67"/>
        </row>
        <row r="68">
          <cell r="A68" t="str">
            <v>0044</v>
          </cell>
          <cell r="D68"/>
          <cell r="F68"/>
        </row>
        <row r="69">
          <cell r="A69" t="str">
            <v>0044</v>
          </cell>
          <cell r="D69"/>
          <cell r="F69"/>
        </row>
        <row r="70">
          <cell r="A70"/>
          <cell r="D70"/>
          <cell r="F70"/>
        </row>
        <row r="71">
          <cell r="A71" t="str">
            <v>0044</v>
          </cell>
          <cell r="D71"/>
          <cell r="F71"/>
        </row>
        <row r="72">
          <cell r="A72" t="str">
            <v>0044</v>
          </cell>
          <cell r="D72"/>
          <cell r="F72"/>
        </row>
        <row r="73">
          <cell r="A73"/>
          <cell r="D73"/>
          <cell r="F73"/>
        </row>
        <row r="74">
          <cell r="A74" t="str">
            <v>0044</v>
          </cell>
          <cell r="D74"/>
          <cell r="F74"/>
        </row>
        <row r="75">
          <cell r="A75" t="str">
            <v>0044</v>
          </cell>
          <cell r="D75"/>
          <cell r="F75"/>
        </row>
        <row r="76">
          <cell r="A76"/>
          <cell r="D76"/>
          <cell r="F76"/>
        </row>
        <row r="77">
          <cell r="A77" t="str">
            <v>0044</v>
          </cell>
          <cell r="D77"/>
          <cell r="F77"/>
        </row>
        <row r="78">
          <cell r="A78" t="str">
            <v>0044</v>
          </cell>
          <cell r="D78"/>
          <cell r="F78"/>
        </row>
        <row r="79">
          <cell r="A79" t="str">
            <v>0044</v>
          </cell>
          <cell r="D79"/>
          <cell r="F79"/>
        </row>
        <row r="80">
          <cell r="A80"/>
          <cell r="D80"/>
          <cell r="F80"/>
        </row>
        <row r="81">
          <cell r="A81" t="str">
            <v>0044</v>
          </cell>
          <cell r="D81"/>
          <cell r="F81"/>
        </row>
        <row r="82">
          <cell r="A82" t="str">
            <v>0044</v>
          </cell>
          <cell r="D82"/>
          <cell r="F82"/>
        </row>
        <row r="83">
          <cell r="A83"/>
          <cell r="D83"/>
          <cell r="F83"/>
        </row>
        <row r="84">
          <cell r="A84" t="str">
            <v>0044</v>
          </cell>
          <cell r="D84">
            <v>792019.94</v>
          </cell>
          <cell r="F84"/>
        </row>
        <row r="85">
          <cell r="A85" t="str">
            <v>0044</v>
          </cell>
          <cell r="D85"/>
          <cell r="F85"/>
        </row>
        <row r="86">
          <cell r="A86" t="str">
            <v>0044</v>
          </cell>
          <cell r="D86"/>
          <cell r="F86"/>
        </row>
        <row r="87">
          <cell r="A87" t="str">
            <v>0044</v>
          </cell>
          <cell r="D87"/>
          <cell r="F87"/>
        </row>
        <row r="88">
          <cell r="A88" t="str">
            <v>0044</v>
          </cell>
          <cell r="D88"/>
          <cell r="F88"/>
        </row>
        <row r="89">
          <cell r="A89" t="str">
            <v>0044</v>
          </cell>
          <cell r="D89"/>
          <cell r="F89"/>
        </row>
        <row r="90">
          <cell r="A90"/>
          <cell r="D90"/>
          <cell r="F90"/>
        </row>
        <row r="91">
          <cell r="A91" t="str">
            <v>0044</v>
          </cell>
          <cell r="D91"/>
          <cell r="F91"/>
        </row>
        <row r="92">
          <cell r="A92" t="str">
            <v>0044</v>
          </cell>
          <cell r="D92"/>
          <cell r="F92"/>
        </row>
        <row r="93">
          <cell r="A93" t="str">
            <v>0044</v>
          </cell>
          <cell r="D93"/>
          <cell r="F93"/>
        </row>
        <row r="94">
          <cell r="A94" t="str">
            <v>0044</v>
          </cell>
          <cell r="D94"/>
          <cell r="F94"/>
        </row>
        <row r="95">
          <cell r="A95" t="str">
            <v>0044</v>
          </cell>
          <cell r="D95"/>
          <cell r="F95"/>
        </row>
        <row r="96">
          <cell r="A96" t="str">
            <v>0044</v>
          </cell>
          <cell r="D96"/>
          <cell r="F96"/>
        </row>
        <row r="97">
          <cell r="A97" t="str">
            <v>0044</v>
          </cell>
          <cell r="D97"/>
          <cell r="F97"/>
        </row>
        <row r="98">
          <cell r="A98" t="str">
            <v>0044</v>
          </cell>
          <cell r="D98"/>
          <cell r="F98"/>
        </row>
        <row r="99">
          <cell r="A99" t="str">
            <v>0044</v>
          </cell>
          <cell r="D99"/>
          <cell r="F99"/>
        </row>
        <row r="100">
          <cell r="A100" t="str">
            <v>0044</v>
          </cell>
          <cell r="D100"/>
          <cell r="F100"/>
        </row>
        <row r="101">
          <cell r="A101" t="str">
            <v>0044</v>
          </cell>
          <cell r="D101"/>
          <cell r="F101"/>
        </row>
        <row r="102">
          <cell r="A102"/>
          <cell r="D102"/>
          <cell r="F102"/>
        </row>
        <row r="103">
          <cell r="A103"/>
          <cell r="D103"/>
          <cell r="F103"/>
        </row>
        <row r="104">
          <cell r="A104" t="str">
            <v>0039</v>
          </cell>
          <cell r="D104">
            <v>1229067</v>
          </cell>
          <cell r="F104"/>
        </row>
        <row r="105">
          <cell r="A105" t="str">
            <v>0041</v>
          </cell>
          <cell r="D105"/>
          <cell r="F105"/>
        </row>
        <row r="106">
          <cell r="A106"/>
          <cell r="D106"/>
          <cell r="F106"/>
        </row>
        <row r="107">
          <cell r="A107" t="str">
            <v>0041</v>
          </cell>
          <cell r="D107"/>
          <cell r="F107"/>
        </row>
        <row r="108">
          <cell r="A108" t="str">
            <v>0041</v>
          </cell>
          <cell r="D108"/>
          <cell r="F108"/>
        </row>
        <row r="109">
          <cell r="A109" t="str">
            <v>0039</v>
          </cell>
          <cell r="D109"/>
          <cell r="F109"/>
        </row>
        <row r="110">
          <cell r="A110"/>
          <cell r="D110"/>
          <cell r="F110"/>
        </row>
        <row r="111">
          <cell r="A111" t="str">
            <v>0041</v>
          </cell>
          <cell r="D111"/>
          <cell r="F111"/>
        </row>
        <row r="112">
          <cell r="A112" t="str">
            <v>0041</v>
          </cell>
          <cell r="D112"/>
          <cell r="F112"/>
        </row>
        <row r="113">
          <cell r="A113" t="str">
            <v>0041</v>
          </cell>
          <cell r="D113"/>
          <cell r="F113"/>
        </row>
        <row r="114">
          <cell r="A114" t="str">
            <v>0039</v>
          </cell>
          <cell r="D114"/>
          <cell r="F114"/>
        </row>
        <row r="115">
          <cell r="A115"/>
          <cell r="D115"/>
          <cell r="F115"/>
        </row>
        <row r="116">
          <cell r="A116" t="str">
            <v>0041</v>
          </cell>
          <cell r="D116"/>
          <cell r="F116"/>
        </row>
        <row r="117">
          <cell r="A117" t="str">
            <v>0041</v>
          </cell>
          <cell r="D117"/>
          <cell r="F117"/>
        </row>
        <row r="118">
          <cell r="A118" t="str">
            <v>0041</v>
          </cell>
          <cell r="D118"/>
          <cell r="F118"/>
        </row>
        <row r="119">
          <cell r="A119" t="str">
            <v>0041</v>
          </cell>
          <cell r="D119"/>
          <cell r="F119"/>
        </row>
        <row r="120">
          <cell r="A120" t="str">
            <v>0041</v>
          </cell>
          <cell r="D120"/>
          <cell r="F120"/>
        </row>
        <row r="121">
          <cell r="A121"/>
          <cell r="D121"/>
          <cell r="F121"/>
        </row>
        <row r="122">
          <cell r="A122" t="str">
            <v>0041</v>
          </cell>
          <cell r="D122"/>
          <cell r="F122"/>
        </row>
        <row r="123">
          <cell r="A123" t="str">
            <v>0041</v>
          </cell>
          <cell r="D123"/>
          <cell r="F123"/>
        </row>
        <row r="124">
          <cell r="A124" t="str">
            <v>0041</v>
          </cell>
          <cell r="D124"/>
          <cell r="F124"/>
        </row>
        <row r="125">
          <cell r="A125" t="str">
            <v>0041</v>
          </cell>
          <cell r="D125"/>
          <cell r="F125"/>
        </row>
        <row r="126">
          <cell r="A126" t="str">
            <v>0041</v>
          </cell>
          <cell r="D126"/>
          <cell r="F126"/>
        </row>
        <row r="127">
          <cell r="A127" t="str">
            <v>0041</v>
          </cell>
          <cell r="D127"/>
          <cell r="F127"/>
        </row>
        <row r="128">
          <cell r="A128" t="str">
            <v>0041</v>
          </cell>
          <cell r="D128"/>
          <cell r="F128"/>
        </row>
        <row r="129">
          <cell r="A129" t="str">
            <v>0041</v>
          </cell>
          <cell r="D129"/>
          <cell r="F129"/>
        </row>
        <row r="130">
          <cell r="A130" t="str">
            <v>0041</v>
          </cell>
          <cell r="D130"/>
          <cell r="F130"/>
        </row>
        <row r="131">
          <cell r="A131"/>
          <cell r="D131"/>
          <cell r="F131"/>
        </row>
        <row r="132">
          <cell r="A132" t="str">
            <v>0041</v>
          </cell>
          <cell r="D132"/>
          <cell r="F132"/>
        </row>
        <row r="133">
          <cell r="A133" t="str">
            <v>0041</v>
          </cell>
          <cell r="D133"/>
          <cell r="F133"/>
        </row>
        <row r="134">
          <cell r="A134" t="str">
            <v>0041</v>
          </cell>
          <cell r="D134"/>
          <cell r="F134"/>
        </row>
        <row r="135">
          <cell r="A135" t="str">
            <v>0041</v>
          </cell>
          <cell r="D135"/>
          <cell r="F135"/>
        </row>
        <row r="136">
          <cell r="A136" t="str">
            <v>0041</v>
          </cell>
          <cell r="D136"/>
          <cell r="F136"/>
        </row>
        <row r="137">
          <cell r="A137" t="str">
            <v>0041</v>
          </cell>
          <cell r="D137"/>
          <cell r="F137"/>
        </row>
        <row r="138">
          <cell r="A138"/>
          <cell r="D138"/>
          <cell r="F138"/>
        </row>
        <row r="139">
          <cell r="A139" t="str">
            <v>0041</v>
          </cell>
          <cell r="D139"/>
          <cell r="F139"/>
        </row>
        <row r="140">
          <cell r="A140" t="str">
            <v>0041</v>
          </cell>
          <cell r="D140"/>
          <cell r="F140"/>
        </row>
        <row r="141">
          <cell r="A141" t="str">
            <v>0041</v>
          </cell>
          <cell r="D141"/>
          <cell r="F141"/>
        </row>
        <row r="142">
          <cell r="A142" t="str">
            <v>0041</v>
          </cell>
          <cell r="D142"/>
          <cell r="F142"/>
        </row>
        <row r="143">
          <cell r="A143" t="str">
            <v>0041</v>
          </cell>
          <cell r="D143"/>
          <cell r="F143"/>
        </row>
        <row r="144">
          <cell r="A144" t="str">
            <v>0041</v>
          </cell>
          <cell r="D144"/>
          <cell r="F144"/>
        </row>
        <row r="145">
          <cell r="A145" t="str">
            <v>0041</v>
          </cell>
          <cell r="D145"/>
          <cell r="F145"/>
        </row>
        <row r="146">
          <cell r="A146" t="str">
            <v>0041</v>
          </cell>
          <cell r="D146"/>
          <cell r="F146"/>
        </row>
        <row r="147">
          <cell r="A147" t="str">
            <v>0041</v>
          </cell>
          <cell r="D147"/>
          <cell r="F147"/>
        </row>
        <row r="148">
          <cell r="A148" t="str">
            <v>0039</v>
          </cell>
          <cell r="D148"/>
          <cell r="F148"/>
        </row>
        <row r="149">
          <cell r="A149"/>
          <cell r="D149"/>
          <cell r="F149"/>
        </row>
        <row r="150">
          <cell r="A150" t="str">
            <v>0041</v>
          </cell>
          <cell r="D150"/>
          <cell r="F150"/>
        </row>
        <row r="151">
          <cell r="A151" t="str">
            <v>0041</v>
          </cell>
          <cell r="D151"/>
          <cell r="F151"/>
        </row>
        <row r="152">
          <cell r="A152"/>
          <cell r="D152"/>
          <cell r="F152"/>
        </row>
        <row r="153">
          <cell r="A153" t="str">
            <v>0044</v>
          </cell>
          <cell r="D153"/>
          <cell r="F153"/>
        </row>
        <row r="154">
          <cell r="A154"/>
          <cell r="D154"/>
          <cell r="F154"/>
        </row>
        <row r="155">
          <cell r="A155" t="str">
            <v>0040</v>
          </cell>
          <cell r="D155"/>
          <cell r="F155"/>
        </row>
        <row r="156">
          <cell r="A156" t="str">
            <v>0039</v>
          </cell>
          <cell r="D156"/>
          <cell r="F156"/>
        </row>
        <row r="157">
          <cell r="A157" t="str">
            <v>0039</v>
          </cell>
          <cell r="D157"/>
          <cell r="F157"/>
        </row>
        <row r="158">
          <cell r="A158" t="str">
            <v>0040</v>
          </cell>
          <cell r="D158">
            <v>42776</v>
          </cell>
          <cell r="F158"/>
        </row>
        <row r="159">
          <cell r="A159" t="str">
            <v>0042</v>
          </cell>
          <cell r="D159">
            <v>2098038.46</v>
          </cell>
          <cell r="F159"/>
        </row>
        <row r="160">
          <cell r="A160" t="str">
            <v>0042</v>
          </cell>
          <cell r="D160"/>
          <cell r="F160"/>
        </row>
        <row r="161">
          <cell r="A161" t="str">
            <v>0044</v>
          </cell>
          <cell r="D161"/>
          <cell r="F161"/>
        </row>
        <row r="162">
          <cell r="A162"/>
          <cell r="D162"/>
          <cell r="F162">
            <v>12527177.77</v>
          </cell>
        </row>
        <row r="163">
          <cell r="A163"/>
          <cell r="D163"/>
          <cell r="F163"/>
        </row>
        <row r="164">
          <cell r="D164"/>
          <cell r="F164"/>
        </row>
        <row r="165">
          <cell r="D165"/>
          <cell r="F165"/>
        </row>
        <row r="166">
          <cell r="D166"/>
          <cell r="F166"/>
        </row>
        <row r="167">
          <cell r="D167"/>
          <cell r="F167">
            <v>-6323255.1400000006</v>
          </cell>
        </row>
        <row r="168">
          <cell r="D168"/>
          <cell r="F168"/>
        </row>
        <row r="169">
          <cell r="D169"/>
          <cell r="F169"/>
        </row>
        <row r="170">
          <cell r="D170"/>
          <cell r="F170"/>
        </row>
        <row r="171">
          <cell r="D171"/>
          <cell r="F171"/>
        </row>
        <row r="172">
          <cell r="D172"/>
          <cell r="F172"/>
        </row>
        <row r="173">
          <cell r="D173"/>
          <cell r="F173"/>
        </row>
        <row r="174">
          <cell r="D174"/>
          <cell r="F174"/>
        </row>
        <row r="175">
          <cell r="D175"/>
          <cell r="F175"/>
        </row>
        <row r="176">
          <cell r="D176"/>
          <cell r="F176"/>
        </row>
        <row r="177">
          <cell r="D177"/>
          <cell r="F177"/>
        </row>
        <row r="178">
          <cell r="D178"/>
          <cell r="F178"/>
        </row>
        <row r="179">
          <cell r="D179"/>
          <cell r="F179"/>
        </row>
        <row r="180">
          <cell r="D180"/>
          <cell r="F180"/>
        </row>
        <row r="181">
          <cell r="D181"/>
          <cell r="F181"/>
        </row>
        <row r="182">
          <cell r="D182"/>
          <cell r="F182"/>
        </row>
        <row r="183">
          <cell r="D183"/>
          <cell r="F183"/>
        </row>
        <row r="184">
          <cell r="D184"/>
          <cell r="F184"/>
        </row>
        <row r="185">
          <cell r="D185"/>
          <cell r="F185"/>
        </row>
        <row r="186">
          <cell r="D186"/>
          <cell r="F186"/>
        </row>
        <row r="187">
          <cell r="D187"/>
          <cell r="F187"/>
        </row>
        <row r="188">
          <cell r="D188"/>
          <cell r="F188"/>
        </row>
        <row r="189">
          <cell r="D189"/>
          <cell r="F189"/>
        </row>
        <row r="190">
          <cell r="D190"/>
          <cell r="F190"/>
        </row>
        <row r="191">
          <cell r="D191"/>
          <cell r="F191"/>
        </row>
        <row r="192">
          <cell r="D192"/>
          <cell r="F192"/>
        </row>
        <row r="193">
          <cell r="D193"/>
          <cell r="F193"/>
        </row>
        <row r="194">
          <cell r="D194"/>
          <cell r="F194"/>
        </row>
        <row r="195">
          <cell r="D195"/>
          <cell r="F195"/>
        </row>
        <row r="196">
          <cell r="D196"/>
          <cell r="F196"/>
        </row>
        <row r="197">
          <cell r="D197"/>
          <cell r="F197"/>
        </row>
        <row r="198">
          <cell r="D198"/>
          <cell r="F198"/>
        </row>
        <row r="199">
          <cell r="D199"/>
          <cell r="F199"/>
        </row>
        <row r="200">
          <cell r="D200"/>
          <cell r="F200"/>
        </row>
      </sheetData>
      <sheetData sheetId="4" refreshError="1">
        <row r="13">
          <cell r="I13">
            <v>0</v>
          </cell>
        </row>
        <row r="21">
          <cell r="M21"/>
        </row>
        <row r="23">
          <cell r="M23"/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RZO"/>
      <sheetName val="BC Balance Comprobación"/>
      <sheetName val="Hoja1"/>
      <sheetName val=" ERF-Rendimiento Financiero"/>
      <sheetName val="EFE-Flujo de Efectivo"/>
      <sheetName val="ECANP-Cambio Patrimonio"/>
      <sheetName val="ESF - Situación Financiera"/>
    </sheetNames>
    <sheetDataSet>
      <sheetData sheetId="0" refreshError="1"/>
      <sheetData sheetId="1" refreshError="1"/>
      <sheetData sheetId="2" refreshError="1"/>
      <sheetData sheetId="3"/>
      <sheetData sheetId="4">
        <row r="53">
          <cell r="C53">
            <v>-5775895.5300000003</v>
          </cell>
        </row>
      </sheetData>
      <sheetData sheetId="5">
        <row r="13">
          <cell r="G13">
            <v>18555016.600000001</v>
          </cell>
        </row>
        <row r="20">
          <cell r="D20">
            <v>51695326</v>
          </cell>
        </row>
      </sheetData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C Balance Comprobación"/>
      <sheetName val="ESF - Situación Financiera"/>
      <sheetName val=" ERF-Rendimiento Financiero"/>
      <sheetName val="ECANP-Cambio Patrimonio"/>
      <sheetName val="EFE-Flujo de Efectivo"/>
      <sheetName val="Reg. no monetarios"/>
      <sheetName val="Hoja1"/>
      <sheetName val=""/>
    </sheetNames>
    <sheetDataSet>
      <sheetData sheetId="0"/>
      <sheetData sheetId="1"/>
      <sheetData sheetId="2">
        <row r="2">
          <cell r="C2" t="str">
            <v>Defensa Civil</v>
          </cell>
        </row>
        <row r="3">
          <cell r="C3" t="str">
            <v>Estado de Rendimiento Financiero</v>
          </cell>
        </row>
        <row r="5">
          <cell r="C5" t="str">
            <v>(Valores en RD$)</v>
          </cell>
        </row>
      </sheetData>
      <sheetData sheetId="3"/>
      <sheetData sheetId="4"/>
      <sheetData sheetId="5"/>
      <sheetData sheetId="6" refreshError="1"/>
      <sheetData sheetId="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o de Situación"/>
      <sheetName val="Est. de Rendimiento Fin"/>
      <sheetName val="Cambio del Patrimonio"/>
      <sheetName val="Flujo de Efectivo"/>
      <sheetName val="Estado Comparativo"/>
    </sheetNames>
    <sheetDataSet>
      <sheetData sheetId="0"/>
      <sheetData sheetId="1"/>
      <sheetData sheetId="2"/>
      <sheetData sheetId="3">
        <row r="1">
          <cell r="A1" t="str">
            <v>Defensa Civil</v>
          </cell>
        </row>
        <row r="2">
          <cell r="A2" t="str">
            <v>Estado de Flujo de Efectivo</v>
          </cell>
        </row>
        <row r="4">
          <cell r="A4" t="str">
            <v>(Valores en RD$)</v>
          </cell>
        </row>
      </sheetData>
      <sheetData sheetId="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ro 2021"/>
      <sheetName val="Febrero 2021"/>
      <sheetName val="ESF - Situación Financiera"/>
      <sheetName val="BC Balance Comprobación"/>
      <sheetName val=" ERF-Rendimiento Financiero"/>
      <sheetName val="ECANP-Cambio Patrimonio"/>
      <sheetName val="EFE-Flujo de Efectivo"/>
      <sheetName val="Reg. no monetarios"/>
      <sheetName val="Hoja7"/>
    </sheetNames>
    <sheetDataSet>
      <sheetData sheetId="0"/>
      <sheetData sheetId="1">
        <row r="41">
          <cell r="I41">
            <v>3892022.5300000003</v>
          </cell>
        </row>
      </sheetData>
      <sheetData sheetId="2"/>
      <sheetData sheetId="3">
        <row r="37">
          <cell r="J37">
            <v>-1430000</v>
          </cell>
        </row>
        <row r="38">
          <cell r="J38">
            <v>-22060869</v>
          </cell>
        </row>
      </sheetData>
      <sheetData sheetId="4"/>
      <sheetData sheetId="5"/>
      <sheetData sheetId="6"/>
      <sheetData sheetId="7"/>
      <sheetData sheetId="8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REYNALDO  JAVIER" id="{E9780946-99DB-4FA3-8DAA-961AAAF180CC}" userId="REYNALDO  JAVIER" providerId="None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J19" dT="2021-12-10T19:14:03.29" personId="{E9780946-99DB-4FA3-8DAA-961AAAF180CC}" id="{4191F39D-CDB4-4F59-88DB-387A78CAE514}">
    <text>=416347.99+25779.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74FC6B-A01E-47F5-A669-9280399FEF5C}">
  <dimension ref="A3:F53"/>
  <sheetViews>
    <sheetView topLeftCell="A43" workbookViewId="0">
      <selection activeCell="E49" sqref="E49"/>
    </sheetView>
  </sheetViews>
  <sheetFormatPr baseColWidth="10" defaultRowHeight="15" x14ac:dyDescent="0.25"/>
  <cols>
    <col min="1" max="1" width="11.42578125" style="132"/>
    <col min="2" max="2" width="13.140625" bestFit="1" customWidth="1"/>
    <col min="3" max="3" width="14.140625" bestFit="1" customWidth="1"/>
    <col min="4" max="4" width="15.85546875" customWidth="1"/>
    <col min="5" max="6" width="14.140625" bestFit="1" customWidth="1"/>
  </cols>
  <sheetData>
    <row r="3" spans="1:6" x14ac:dyDescent="0.25">
      <c r="A3" s="131" t="s">
        <v>359</v>
      </c>
      <c r="B3" s="131" t="s">
        <v>360</v>
      </c>
      <c r="C3" s="131" t="s">
        <v>361</v>
      </c>
      <c r="D3" s="131" t="s">
        <v>362</v>
      </c>
    </row>
    <row r="4" spans="1:6" x14ac:dyDescent="0.25">
      <c r="A4" s="132" t="s">
        <v>363</v>
      </c>
      <c r="B4" s="133"/>
      <c r="C4" s="133">
        <v>6994666.6300000008</v>
      </c>
      <c r="D4" s="95">
        <f>B4+C4</f>
        <v>6994666.6300000008</v>
      </c>
      <c r="E4" s="95">
        <f>D4+D5+D6+D7+D8+D9+D10+D11</f>
        <v>9268780.5</v>
      </c>
    </row>
    <row r="5" spans="1:6" x14ac:dyDescent="0.25">
      <c r="A5" s="132" t="s">
        <v>364</v>
      </c>
      <c r="B5" s="133"/>
      <c r="C5" s="133">
        <v>998250</v>
      </c>
      <c r="D5" s="95">
        <f t="shared" ref="D5:D53" si="0">B5+C5</f>
        <v>998250</v>
      </c>
    </row>
    <row r="6" spans="1:6" x14ac:dyDescent="0.25">
      <c r="A6" s="132" t="s">
        <v>365</v>
      </c>
      <c r="B6" s="133"/>
      <c r="C6" s="133">
        <v>210500</v>
      </c>
      <c r="D6" s="95">
        <f t="shared" si="0"/>
        <v>210500</v>
      </c>
    </row>
    <row r="7" spans="1:6" x14ac:dyDescent="0.25">
      <c r="A7" s="132" t="s">
        <v>366</v>
      </c>
      <c r="B7" s="133"/>
      <c r="C7" s="133">
        <v>30000</v>
      </c>
      <c r="D7" s="95">
        <f t="shared" si="0"/>
        <v>30000</v>
      </c>
    </row>
    <row r="8" spans="1:6" x14ac:dyDescent="0.25">
      <c r="A8" s="132" t="s">
        <v>367</v>
      </c>
      <c r="B8" s="133"/>
      <c r="C8" s="133">
        <v>134863.87</v>
      </c>
      <c r="D8" s="95">
        <f t="shared" si="0"/>
        <v>134863.87</v>
      </c>
      <c r="F8" s="95">
        <f>E4+E12</f>
        <v>10524381.870000001</v>
      </c>
    </row>
    <row r="9" spans="1:6" x14ac:dyDescent="0.25">
      <c r="A9" s="132" t="s">
        <v>368</v>
      </c>
      <c r="B9" s="133"/>
      <c r="C9" s="133">
        <v>256000</v>
      </c>
      <c r="D9" s="95">
        <f t="shared" si="0"/>
        <v>256000</v>
      </c>
    </row>
    <row r="10" spans="1:6" x14ac:dyDescent="0.25">
      <c r="A10" s="132" t="s">
        <v>369</v>
      </c>
      <c r="B10" s="133"/>
      <c r="C10" s="133">
        <v>585500</v>
      </c>
      <c r="D10" s="95">
        <f t="shared" si="0"/>
        <v>585500</v>
      </c>
    </row>
    <row r="11" spans="1:6" x14ac:dyDescent="0.25">
      <c r="A11" s="132" t="s">
        <v>370</v>
      </c>
      <c r="B11" s="133">
        <v>59000</v>
      </c>
      <c r="C11" s="133"/>
      <c r="D11" s="95">
        <f t="shared" si="0"/>
        <v>59000</v>
      </c>
    </row>
    <row r="12" spans="1:6" x14ac:dyDescent="0.25">
      <c r="A12" s="132" t="s">
        <v>371</v>
      </c>
      <c r="B12" s="133"/>
      <c r="C12" s="133">
        <v>578972.3600000001</v>
      </c>
      <c r="D12" s="95">
        <f t="shared" si="0"/>
        <v>578972.3600000001</v>
      </c>
      <c r="E12" s="95">
        <f>D12+D13+D14</f>
        <v>1255601.3700000001</v>
      </c>
    </row>
    <row r="13" spans="1:6" x14ac:dyDescent="0.25">
      <c r="A13" s="132" t="s">
        <v>372</v>
      </c>
      <c r="B13" s="133"/>
      <c r="C13" s="133">
        <v>582442.61</v>
      </c>
      <c r="D13" s="95">
        <f t="shared" si="0"/>
        <v>582442.61</v>
      </c>
    </row>
    <row r="14" spans="1:6" x14ac:dyDescent="0.25">
      <c r="A14" s="132" t="s">
        <v>373</v>
      </c>
      <c r="B14" s="133"/>
      <c r="C14" s="133">
        <v>94186.4</v>
      </c>
      <c r="D14" s="95">
        <f t="shared" si="0"/>
        <v>94186.4</v>
      </c>
    </row>
    <row r="15" spans="1:6" x14ac:dyDescent="0.25">
      <c r="A15" s="132" t="s">
        <v>374</v>
      </c>
      <c r="B15" s="133"/>
      <c r="C15" s="133">
        <v>683814.03</v>
      </c>
      <c r="D15" s="95">
        <f t="shared" si="0"/>
        <v>683814.03</v>
      </c>
      <c r="E15" s="95">
        <f>D15+D16+D17+D18+D19+D20+D21+D22+D23+D24+D25+D26+D27+D28+D29</f>
        <v>2926610.15</v>
      </c>
    </row>
    <row r="16" spans="1:6" x14ac:dyDescent="0.25">
      <c r="A16" s="132" t="s">
        <v>375</v>
      </c>
      <c r="B16" s="133"/>
      <c r="C16" s="133">
        <v>534312.87999999989</v>
      </c>
      <c r="D16" s="95">
        <f t="shared" si="0"/>
        <v>534312.87999999989</v>
      </c>
    </row>
    <row r="17" spans="1:6" x14ac:dyDescent="0.25">
      <c r="A17" s="132" t="s">
        <v>376</v>
      </c>
      <c r="B17" s="133"/>
      <c r="C17" s="133">
        <v>4060</v>
      </c>
      <c r="D17" s="95">
        <f t="shared" si="0"/>
        <v>4060</v>
      </c>
    </row>
    <row r="18" spans="1:6" x14ac:dyDescent="0.25">
      <c r="A18" s="132" t="s">
        <v>377</v>
      </c>
      <c r="B18" s="133">
        <v>57457.57</v>
      </c>
      <c r="C18" s="133"/>
      <c r="D18" s="95">
        <f t="shared" si="0"/>
        <v>57457.57</v>
      </c>
    </row>
    <row r="19" spans="1:6" x14ac:dyDescent="0.25">
      <c r="A19" s="132" t="s">
        <v>378</v>
      </c>
      <c r="B19" s="133">
        <v>130950</v>
      </c>
      <c r="C19" s="133"/>
      <c r="D19" s="95">
        <f t="shared" si="0"/>
        <v>130950</v>
      </c>
    </row>
    <row r="20" spans="1:6" x14ac:dyDescent="0.25">
      <c r="A20" s="132" t="s">
        <v>379</v>
      </c>
      <c r="B20" s="133">
        <v>619310.68000000005</v>
      </c>
      <c r="C20" s="133">
        <v>1301.3</v>
      </c>
      <c r="D20" s="95">
        <f t="shared" si="0"/>
        <v>620611.9800000001</v>
      </c>
    </row>
    <row r="21" spans="1:6" x14ac:dyDescent="0.25">
      <c r="A21" s="132" t="s">
        <v>380</v>
      </c>
      <c r="B21" s="133">
        <v>24210</v>
      </c>
      <c r="C21" s="133"/>
      <c r="D21" s="95">
        <f t="shared" si="0"/>
        <v>24210</v>
      </c>
    </row>
    <row r="22" spans="1:6" x14ac:dyDescent="0.25">
      <c r="A22" s="132" t="s">
        <v>381</v>
      </c>
      <c r="B22" s="133"/>
      <c r="C22" s="133">
        <v>34000</v>
      </c>
      <c r="D22" s="95">
        <f t="shared" si="0"/>
        <v>34000</v>
      </c>
    </row>
    <row r="23" spans="1:6" x14ac:dyDescent="0.25">
      <c r="A23" s="132" t="s">
        <v>382</v>
      </c>
      <c r="B23" s="133">
        <v>33647.620000000003</v>
      </c>
      <c r="C23" s="133"/>
      <c r="D23" s="95">
        <f t="shared" si="0"/>
        <v>33647.620000000003</v>
      </c>
    </row>
    <row r="24" spans="1:6" x14ac:dyDescent="0.25">
      <c r="A24" s="132" t="s">
        <v>383</v>
      </c>
      <c r="B24" s="133">
        <v>3206.61</v>
      </c>
      <c r="C24" s="133"/>
      <c r="D24" s="95">
        <f t="shared" si="0"/>
        <v>3206.61</v>
      </c>
    </row>
    <row r="25" spans="1:6" x14ac:dyDescent="0.25">
      <c r="A25" s="132" t="s">
        <v>384</v>
      </c>
      <c r="B25" s="133">
        <v>63745.21</v>
      </c>
      <c r="C25" s="133"/>
      <c r="D25" s="95">
        <f t="shared" si="0"/>
        <v>63745.21</v>
      </c>
    </row>
    <row r="26" spans="1:6" x14ac:dyDescent="0.25">
      <c r="A26" s="132" t="s">
        <v>385</v>
      </c>
      <c r="B26" s="133"/>
      <c r="C26" s="133">
        <v>16666.66</v>
      </c>
      <c r="D26" s="95">
        <f t="shared" si="0"/>
        <v>16666.66</v>
      </c>
    </row>
    <row r="27" spans="1:6" x14ac:dyDescent="0.25">
      <c r="A27" s="132" t="s">
        <v>386</v>
      </c>
      <c r="B27" s="133">
        <v>21550.560000000001</v>
      </c>
      <c r="C27" s="133">
        <v>80000</v>
      </c>
      <c r="D27" s="95">
        <f t="shared" si="0"/>
        <v>101550.56</v>
      </c>
    </row>
    <row r="28" spans="1:6" x14ac:dyDescent="0.25">
      <c r="A28" s="132" t="s">
        <v>387</v>
      </c>
      <c r="B28" s="133">
        <v>452047.57</v>
      </c>
      <c r="C28" s="133"/>
      <c r="D28" s="95">
        <f t="shared" si="0"/>
        <v>452047.57</v>
      </c>
    </row>
    <row r="29" spans="1:6" x14ac:dyDescent="0.25">
      <c r="A29" s="132" t="s">
        <v>388</v>
      </c>
      <c r="B29" s="133">
        <v>166329.46</v>
      </c>
      <c r="C29" s="133"/>
      <c r="D29" s="95">
        <f t="shared" si="0"/>
        <v>166329.46</v>
      </c>
    </row>
    <row r="30" spans="1:6" x14ac:dyDescent="0.25">
      <c r="A30" s="132" t="s">
        <v>160</v>
      </c>
      <c r="B30" s="133">
        <v>170404.1</v>
      </c>
      <c r="C30" s="133">
        <v>499900</v>
      </c>
      <c r="D30" s="95">
        <f t="shared" si="0"/>
        <v>670304.1</v>
      </c>
      <c r="E30" s="95">
        <f>D30+D31+D32+D33+D35+D34+D36+D37+D38+D39+D40+D41+D42+D43+D44+D45+D46+D47</f>
        <v>1492837</v>
      </c>
      <c r="F30" s="95">
        <f>E30+E15</f>
        <v>4419447.1500000004</v>
      </c>
    </row>
    <row r="31" spans="1:6" x14ac:dyDescent="0.25">
      <c r="A31" s="132" t="s">
        <v>163</v>
      </c>
      <c r="B31" s="133">
        <v>8023</v>
      </c>
      <c r="C31" s="133"/>
      <c r="D31" s="95">
        <f t="shared" si="0"/>
        <v>8023</v>
      </c>
    </row>
    <row r="32" spans="1:6" x14ac:dyDescent="0.25">
      <c r="A32" s="132" t="s">
        <v>168</v>
      </c>
      <c r="B32" s="133">
        <v>46714.2</v>
      </c>
      <c r="C32" s="133"/>
      <c r="D32" s="95">
        <f t="shared" si="0"/>
        <v>46714.2</v>
      </c>
    </row>
    <row r="33" spans="1:6" x14ac:dyDescent="0.25">
      <c r="A33" s="132" t="s">
        <v>170</v>
      </c>
      <c r="B33" s="133"/>
      <c r="C33" s="133">
        <v>200077.26</v>
      </c>
      <c r="D33" s="95">
        <f t="shared" si="0"/>
        <v>200077.26</v>
      </c>
    </row>
    <row r="34" spans="1:6" x14ac:dyDescent="0.25">
      <c r="A34" s="132" t="s">
        <v>175</v>
      </c>
      <c r="B34" s="133">
        <v>29086.2</v>
      </c>
      <c r="C34" s="133"/>
      <c r="D34" s="95">
        <f t="shared" si="0"/>
        <v>29086.2</v>
      </c>
    </row>
    <row r="35" spans="1:6" x14ac:dyDescent="0.25">
      <c r="A35" s="132" t="s">
        <v>177</v>
      </c>
      <c r="B35" s="133"/>
      <c r="C35" s="133">
        <v>56994</v>
      </c>
      <c r="D35" s="95">
        <f t="shared" si="0"/>
        <v>56994</v>
      </c>
    </row>
    <row r="36" spans="1:6" x14ac:dyDescent="0.25">
      <c r="A36" s="132" t="s">
        <v>189</v>
      </c>
      <c r="B36" s="133">
        <v>41391.9</v>
      </c>
      <c r="C36" s="133"/>
      <c r="D36" s="95">
        <f t="shared" si="0"/>
        <v>41391.9</v>
      </c>
      <c r="F36" s="95"/>
    </row>
    <row r="37" spans="1:6" x14ac:dyDescent="0.25">
      <c r="A37" s="132" t="s">
        <v>389</v>
      </c>
      <c r="B37" s="133">
        <v>565</v>
      </c>
      <c r="C37" s="133"/>
      <c r="D37" s="95">
        <f t="shared" si="0"/>
        <v>565</v>
      </c>
    </row>
    <row r="38" spans="1:6" x14ac:dyDescent="0.25">
      <c r="A38" s="132" t="s">
        <v>204</v>
      </c>
      <c r="B38" s="133">
        <v>1299.5</v>
      </c>
      <c r="C38" s="133"/>
      <c r="D38" s="95">
        <f t="shared" si="0"/>
        <v>1299.5</v>
      </c>
    </row>
    <row r="39" spans="1:6" x14ac:dyDescent="0.25">
      <c r="A39" s="132" t="s">
        <v>390</v>
      </c>
      <c r="B39" s="133"/>
      <c r="C39" s="133">
        <v>27438.84</v>
      </c>
      <c r="D39" s="95">
        <f t="shared" si="0"/>
        <v>27438.84</v>
      </c>
    </row>
    <row r="40" spans="1:6" x14ac:dyDescent="0.25">
      <c r="A40" s="132" t="s">
        <v>391</v>
      </c>
      <c r="B40" s="133">
        <v>92591.96</v>
      </c>
      <c r="C40" s="133"/>
      <c r="D40" s="95">
        <f t="shared" si="0"/>
        <v>92591.96</v>
      </c>
    </row>
    <row r="41" spans="1:6" x14ac:dyDescent="0.25">
      <c r="A41" s="132" t="s">
        <v>213</v>
      </c>
      <c r="B41" s="133">
        <v>48590</v>
      </c>
      <c r="C41" s="133"/>
      <c r="D41" s="95">
        <f t="shared" si="0"/>
        <v>48590</v>
      </c>
    </row>
    <row r="42" spans="1:6" x14ac:dyDescent="0.25">
      <c r="A42" s="132" t="s">
        <v>220</v>
      </c>
      <c r="B42" s="133">
        <v>54901.05</v>
      </c>
      <c r="C42" s="133"/>
      <c r="D42" s="95">
        <f t="shared" si="0"/>
        <v>54901.05</v>
      </c>
    </row>
    <row r="43" spans="1:6" x14ac:dyDescent="0.25">
      <c r="A43" s="132" t="s">
        <v>224</v>
      </c>
      <c r="B43" s="133">
        <v>83921.99</v>
      </c>
      <c r="C43" s="133"/>
      <c r="D43" s="95">
        <f t="shared" si="0"/>
        <v>83921.99</v>
      </c>
    </row>
    <row r="44" spans="1:6" x14ac:dyDescent="0.25">
      <c r="A44" s="132" t="s">
        <v>392</v>
      </c>
      <c r="B44" s="133">
        <v>791</v>
      </c>
      <c r="C44" s="133"/>
      <c r="D44" s="95">
        <f t="shared" si="0"/>
        <v>791</v>
      </c>
    </row>
    <row r="45" spans="1:6" x14ac:dyDescent="0.25">
      <c r="A45" s="132" t="s">
        <v>228</v>
      </c>
      <c r="B45" s="133">
        <v>12317</v>
      </c>
      <c r="C45" s="133"/>
      <c r="D45" s="95">
        <f t="shared" si="0"/>
        <v>12317</v>
      </c>
    </row>
    <row r="46" spans="1:6" x14ac:dyDescent="0.25">
      <c r="A46" s="132" t="s">
        <v>232</v>
      </c>
      <c r="B46" s="133">
        <v>18080</v>
      </c>
      <c r="C46" s="133"/>
      <c r="D46" s="95">
        <f t="shared" si="0"/>
        <v>18080</v>
      </c>
    </row>
    <row r="47" spans="1:6" x14ac:dyDescent="0.25">
      <c r="A47" s="132" t="s">
        <v>237</v>
      </c>
      <c r="B47" s="133">
        <v>99750</v>
      </c>
      <c r="C47" s="133"/>
      <c r="D47" s="95">
        <f t="shared" si="0"/>
        <v>99750</v>
      </c>
    </row>
    <row r="48" spans="1:6" x14ac:dyDescent="0.25">
      <c r="A48" s="132" t="s">
        <v>393</v>
      </c>
      <c r="B48" s="133">
        <v>50000</v>
      </c>
      <c r="C48" s="133"/>
      <c r="D48" s="95">
        <f t="shared" si="0"/>
        <v>50000</v>
      </c>
      <c r="E48" s="95">
        <f>D48</f>
        <v>50000</v>
      </c>
    </row>
    <row r="49" spans="1:5" x14ac:dyDescent="0.25">
      <c r="A49" s="132" t="s">
        <v>394</v>
      </c>
      <c r="B49" s="133"/>
      <c r="C49" s="133">
        <v>77082.080000000002</v>
      </c>
      <c r="D49" s="95">
        <f t="shared" si="0"/>
        <v>77082.080000000002</v>
      </c>
      <c r="E49" s="95">
        <f>D49+D50+D51+D52</f>
        <v>109400.08</v>
      </c>
    </row>
    <row r="50" spans="1:5" x14ac:dyDescent="0.25">
      <c r="A50" s="132" t="s">
        <v>395</v>
      </c>
      <c r="B50" s="133">
        <v>10170</v>
      </c>
      <c r="C50" s="133"/>
      <c r="D50" s="95">
        <f t="shared" si="0"/>
        <v>10170</v>
      </c>
    </row>
    <row r="51" spans="1:5" x14ac:dyDescent="0.25">
      <c r="A51" s="132" t="s">
        <v>396</v>
      </c>
      <c r="B51" s="133"/>
      <c r="C51" s="133"/>
      <c r="D51" s="95">
        <f t="shared" si="0"/>
        <v>0</v>
      </c>
    </row>
    <row r="52" spans="1:5" x14ac:dyDescent="0.25">
      <c r="A52" s="132" t="s">
        <v>397</v>
      </c>
      <c r="B52" s="133">
        <v>22148</v>
      </c>
      <c r="C52" s="133"/>
      <c r="D52" s="95">
        <f t="shared" si="0"/>
        <v>22148</v>
      </c>
    </row>
    <row r="53" spans="1:5" x14ac:dyDescent="0.25">
      <c r="B53" s="134">
        <f>SUM(B4:B52)</f>
        <v>2422200.1800000002</v>
      </c>
      <c r="C53" s="134">
        <f>SUM(C4:C52)</f>
        <v>12681028.919999998</v>
      </c>
      <c r="D53" s="135">
        <f t="shared" si="0"/>
        <v>15103229.099999998</v>
      </c>
      <c r="E53" s="135">
        <f>SUM(E4:E52)</f>
        <v>15103229.100000001</v>
      </c>
    </row>
  </sheetData>
  <autoFilter ref="A3:A52" xr:uid="{CCA86DBC-6603-48BC-9606-0EC072927DC4}">
    <sortState xmlns:xlrd2="http://schemas.microsoft.com/office/spreadsheetml/2017/richdata2" ref="A4:B52">
      <sortCondition ref="A3:A52"/>
    </sortState>
  </autoFilter>
  <pageMargins left="0.7" right="0.7" top="0.75" bottom="0.75" header="0.3" footer="0.3"/>
  <pageSetup orientation="portrait" horizontalDpi="300" verticalDpi="300" r:id="rId1"/>
  <ignoredErrors>
    <ignoredError sqref="D53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AF31EE-121D-4E14-9BD4-D2EB18E560A2}">
  <dimension ref="A1:AC201"/>
  <sheetViews>
    <sheetView zoomScale="71" zoomScaleNormal="71" workbookViewId="0">
      <pane ySplit="11" topLeftCell="A33" activePane="bottomLeft" state="frozen"/>
      <selection pane="bottomLeft" activeCell="D13" sqref="D13:D17"/>
    </sheetView>
  </sheetViews>
  <sheetFormatPr baseColWidth="10" defaultColWidth="10.85546875" defaultRowHeight="15.75" x14ac:dyDescent="0.25"/>
  <cols>
    <col min="1" max="1" width="9.42578125" style="139" customWidth="1"/>
    <col min="2" max="2" width="5.42578125" style="140" hidden="1" customWidth="1"/>
    <col min="3" max="3" width="63.42578125" style="141" customWidth="1"/>
    <col min="4" max="4" width="19.42578125" style="141" customWidth="1"/>
    <col min="5" max="5" width="15" style="142" hidden="1" customWidth="1"/>
    <col min="6" max="6" width="16.5703125" style="143" hidden="1" customWidth="1"/>
    <col min="7" max="7" width="17.5703125" style="1" customWidth="1"/>
    <col min="8" max="8" width="44.5703125" style="1" customWidth="1"/>
    <col min="9" max="12" width="14.28515625" style="1" customWidth="1"/>
    <col min="13" max="13" width="18.42578125" style="1" bestFit="1" customWidth="1"/>
    <col min="14" max="15" width="13.5703125" style="1" customWidth="1"/>
    <col min="16" max="16" width="13.42578125" style="1" customWidth="1"/>
    <col min="17" max="17" width="3.42578125" style="1" customWidth="1"/>
    <col min="18" max="18" width="21" style="1" customWidth="1"/>
    <col min="19" max="19" width="14.28515625" style="1" customWidth="1"/>
    <col min="20" max="21" width="15.7109375" style="1" customWidth="1"/>
    <col min="22" max="22" width="13.140625" style="1" customWidth="1"/>
    <col min="23" max="23" width="14.5703125" style="1" customWidth="1"/>
    <col min="24" max="24" width="12.7109375" style="1" customWidth="1"/>
    <col min="25" max="25" width="12.28515625" style="1" hidden="1" customWidth="1"/>
    <col min="26" max="26" width="13.42578125" style="1" hidden="1" customWidth="1"/>
    <col min="27" max="42" width="0" style="1" hidden="1" customWidth="1"/>
    <col min="43" max="16384" width="10.85546875" style="1"/>
  </cols>
  <sheetData>
    <row r="1" spans="1:29" ht="18" customHeight="1" x14ac:dyDescent="0.25"/>
    <row r="2" spans="1:29" x14ac:dyDescent="0.25">
      <c r="C2" s="144" t="s">
        <v>0</v>
      </c>
      <c r="D2" s="20">
        <f>D331227</f>
        <v>0</v>
      </c>
      <c r="E2" s="20">
        <f>E331227</f>
        <v>0</v>
      </c>
      <c r="F2" s="145"/>
      <c r="H2" s="4" t="s">
        <v>1</v>
      </c>
      <c r="I2" s="2">
        <f>SUM(I13:I160)</f>
        <v>133236063.36999997</v>
      </c>
      <c r="J2" s="2">
        <f t="shared" ref="J2:P2" si="0">SUM(J13:J164)</f>
        <v>0</v>
      </c>
      <c r="K2" s="2">
        <f t="shared" si="0"/>
        <v>0</v>
      </c>
      <c r="L2" s="2">
        <f t="shared" si="0"/>
        <v>188297749.15999997</v>
      </c>
      <c r="M2" s="2">
        <f t="shared" si="0"/>
        <v>-57127322.629999995</v>
      </c>
      <c r="N2" s="2">
        <f t="shared" si="0"/>
        <v>41442045.129999995</v>
      </c>
      <c r="O2" s="2">
        <f t="shared" si="0"/>
        <v>-56541315.25999999</v>
      </c>
      <c r="P2" s="2">
        <f t="shared" si="0"/>
        <v>0</v>
      </c>
      <c r="R2" s="2">
        <f>SUM(M2:Q2)</f>
        <v>-72226592.75999999</v>
      </c>
      <c r="S2" s="2"/>
      <c r="T2" s="5">
        <f>SUM(T13:T164)</f>
        <v>9268780.5</v>
      </c>
      <c r="U2" s="5">
        <f>SUM(U13:U164)</f>
        <v>1255601.3700000001</v>
      </c>
      <c r="V2" s="5">
        <f>SUM(V13:V164)</f>
        <v>4392327.1500000004</v>
      </c>
      <c r="W2" s="2">
        <f>SUM(W13:W164)</f>
        <v>0</v>
      </c>
      <c r="Y2" s="2">
        <f>+N2+O2-M2</f>
        <v>42028052.5</v>
      </c>
    </row>
    <row r="3" spans="1:29" ht="21" customHeight="1" x14ac:dyDescent="0.25">
      <c r="C3" s="144"/>
      <c r="D3" s="146">
        <f>+SUBTOTAL(9,D13:D165)</f>
        <v>148925434.86999997</v>
      </c>
      <c r="E3" s="146">
        <f>+SUBTOTAL(9,E13:E165)</f>
        <v>251360631.80999997</v>
      </c>
      <c r="K3" s="2">
        <f>+K2-J2</f>
        <v>0</v>
      </c>
      <c r="N3" s="2"/>
    </row>
    <row r="4" spans="1:29" ht="18.75" customHeight="1" x14ac:dyDescent="0.25">
      <c r="D4" s="20"/>
      <c r="E4" s="20"/>
      <c r="K4" s="2"/>
      <c r="N4" s="2"/>
    </row>
    <row r="5" spans="1:29" x14ac:dyDescent="0.25">
      <c r="B5" s="6"/>
      <c r="C5" s="176" t="s">
        <v>2</v>
      </c>
      <c r="D5" s="176"/>
      <c r="E5" s="176"/>
      <c r="F5" s="147"/>
      <c r="H5" s="176" t="s">
        <v>2</v>
      </c>
      <c r="I5" s="176"/>
      <c r="J5" s="176"/>
      <c r="K5" s="176"/>
      <c r="N5" s="2"/>
      <c r="R5" s="177" t="s">
        <v>3</v>
      </c>
    </row>
    <row r="6" spans="1:29" x14ac:dyDescent="0.25">
      <c r="B6" s="6"/>
      <c r="C6" s="176" t="s">
        <v>4</v>
      </c>
      <c r="D6" s="176"/>
      <c r="E6" s="176"/>
      <c r="F6" s="148"/>
      <c r="G6" s="2"/>
      <c r="H6" s="176" t="s">
        <v>5</v>
      </c>
      <c r="I6" s="176"/>
      <c r="J6" s="176"/>
      <c r="K6" s="176"/>
      <c r="L6" s="2"/>
      <c r="O6" s="2"/>
      <c r="R6" s="177"/>
    </row>
    <row r="7" spans="1:29" x14ac:dyDescent="0.25">
      <c r="B7" s="6"/>
      <c r="C7" s="176" t="s">
        <v>357</v>
      </c>
      <c r="D7" s="176"/>
      <c r="E7" s="176"/>
      <c r="F7" s="149"/>
      <c r="G7" s="7"/>
      <c r="H7" s="176" t="s">
        <v>6</v>
      </c>
      <c r="I7" s="176"/>
      <c r="J7" s="176"/>
      <c r="K7" s="176"/>
      <c r="R7" s="177"/>
    </row>
    <row r="8" spans="1:29" x14ac:dyDescent="0.25">
      <c r="B8" s="6"/>
      <c r="C8" s="176" t="s">
        <v>7</v>
      </c>
      <c r="D8" s="176"/>
      <c r="E8" s="176"/>
      <c r="G8" s="7"/>
      <c r="H8" s="176" t="s">
        <v>7</v>
      </c>
      <c r="I8" s="176"/>
      <c r="J8" s="176"/>
      <c r="K8" s="176"/>
      <c r="O8" s="2"/>
      <c r="R8" s="177"/>
      <c r="S8" s="174" t="s">
        <v>8</v>
      </c>
      <c r="T8" s="174"/>
      <c r="U8" s="174"/>
      <c r="V8" s="174"/>
      <c r="W8" s="174"/>
    </row>
    <row r="9" spans="1:29" ht="23.25" customHeight="1" x14ac:dyDescent="0.25">
      <c r="D9" s="20"/>
      <c r="E9" s="20"/>
      <c r="F9" s="149"/>
      <c r="G9" s="7"/>
      <c r="I9" s="9"/>
      <c r="J9" s="9"/>
      <c r="K9" s="9"/>
      <c r="L9" s="9"/>
      <c r="M9" s="10"/>
      <c r="R9" s="177"/>
    </row>
    <row r="10" spans="1:29" ht="27" customHeight="1" x14ac:dyDescent="0.25">
      <c r="C10" s="136"/>
      <c r="F10" s="147"/>
      <c r="G10" s="7"/>
      <c r="I10" s="4" t="s">
        <v>9</v>
      </c>
      <c r="J10" s="175" t="s">
        <v>10</v>
      </c>
      <c r="K10" s="175"/>
      <c r="L10" s="4" t="s">
        <v>9</v>
      </c>
      <c r="M10" s="11" t="s">
        <v>11</v>
      </c>
      <c r="N10" s="12" t="s">
        <v>12</v>
      </c>
      <c r="O10" s="12" t="s">
        <v>12</v>
      </c>
      <c r="P10" s="12" t="s">
        <v>12</v>
      </c>
      <c r="Q10" s="11"/>
      <c r="R10" s="177"/>
      <c r="S10" s="12" t="s">
        <v>13</v>
      </c>
      <c r="T10" s="12" t="s">
        <v>14</v>
      </c>
      <c r="U10" s="12" t="s">
        <v>15</v>
      </c>
      <c r="V10" s="12" t="s">
        <v>16</v>
      </c>
      <c r="W10" s="12" t="s">
        <v>17</v>
      </c>
      <c r="X10" s="11"/>
      <c r="Y10" s="11"/>
      <c r="Z10" s="11"/>
      <c r="AA10" s="11"/>
      <c r="AB10" s="11"/>
      <c r="AC10" s="11"/>
    </row>
    <row r="11" spans="1:29" ht="55.5" customHeight="1" x14ac:dyDescent="0.25">
      <c r="A11" s="136" t="s">
        <v>18</v>
      </c>
      <c r="C11" s="6" t="s">
        <v>19</v>
      </c>
      <c r="D11" s="150">
        <v>2022</v>
      </c>
      <c r="E11" s="150">
        <v>2021</v>
      </c>
      <c r="G11" s="173" t="s">
        <v>20</v>
      </c>
      <c r="H11" s="13" t="s">
        <v>21</v>
      </c>
      <c r="I11" s="14">
        <v>43830</v>
      </c>
      <c r="J11" s="15" t="s">
        <v>22</v>
      </c>
      <c r="K11" s="15" t="s">
        <v>23</v>
      </c>
      <c r="L11" s="14">
        <v>43465</v>
      </c>
      <c r="M11" s="11" t="s">
        <v>24</v>
      </c>
      <c r="N11" s="12" t="s">
        <v>25</v>
      </c>
      <c r="O11" s="12" t="s">
        <v>26</v>
      </c>
      <c r="P11" s="12" t="s">
        <v>27</v>
      </c>
      <c r="Q11" s="11"/>
      <c r="R11" s="11"/>
      <c r="S11" s="12" t="s">
        <v>28</v>
      </c>
      <c r="T11" s="12" t="s">
        <v>29</v>
      </c>
      <c r="U11" s="12" t="s">
        <v>30</v>
      </c>
      <c r="V11" s="12" t="s">
        <v>31</v>
      </c>
      <c r="W11" s="12" t="s">
        <v>32</v>
      </c>
      <c r="X11" s="11"/>
      <c r="Y11" s="11"/>
      <c r="Z11" s="11"/>
      <c r="AA11" s="11"/>
      <c r="AB11" s="11"/>
      <c r="AC11" s="11"/>
    </row>
    <row r="12" spans="1:29" x14ac:dyDescent="0.25">
      <c r="A12" s="139" t="s">
        <v>33</v>
      </c>
      <c r="C12" s="151" t="s">
        <v>34</v>
      </c>
      <c r="D12" s="150"/>
      <c r="E12" s="150"/>
      <c r="I12" s="16" t="s">
        <v>35</v>
      </c>
      <c r="J12" s="16" t="s">
        <v>36</v>
      </c>
      <c r="K12" s="16" t="s">
        <v>37</v>
      </c>
      <c r="L12" s="16" t="s">
        <v>38</v>
      </c>
      <c r="M12" s="17" t="s">
        <v>39</v>
      </c>
      <c r="N12" s="11"/>
      <c r="O12" s="11"/>
      <c r="P12" s="11"/>
      <c r="Q12" s="11"/>
      <c r="R12" s="2">
        <f t="shared" ref="R12:R75" si="1">SUM(M12:Q12)</f>
        <v>0</v>
      </c>
      <c r="S12" s="18" t="e">
        <f t="shared" ref="S12:S37" si="2">-M12</f>
        <v>#VALUE!</v>
      </c>
      <c r="T12" s="11"/>
      <c r="U12" s="11"/>
      <c r="V12" s="11"/>
      <c r="W12" s="11"/>
      <c r="X12" s="11"/>
      <c r="Y12" s="11"/>
      <c r="Z12" s="11"/>
      <c r="AA12" s="11"/>
      <c r="AB12" s="11"/>
      <c r="AC12" s="11"/>
    </row>
    <row r="13" spans="1:29" x14ac:dyDescent="0.25">
      <c r="A13" s="139" t="s">
        <v>40</v>
      </c>
      <c r="B13" s="140" t="s">
        <v>40</v>
      </c>
      <c r="C13" s="141" t="s">
        <v>41</v>
      </c>
      <c r="D13" s="20">
        <v>4094</v>
      </c>
      <c r="E13" s="20"/>
      <c r="G13" s="1">
        <f>F13*15.39%</f>
        <v>0</v>
      </c>
      <c r="R13" s="2">
        <f t="shared" si="1"/>
        <v>0</v>
      </c>
      <c r="S13" s="18">
        <f t="shared" si="2"/>
        <v>0</v>
      </c>
    </row>
    <row r="14" spans="1:29" x14ac:dyDescent="0.25">
      <c r="A14" s="139" t="s">
        <v>40</v>
      </c>
      <c r="B14" s="140" t="s">
        <v>40</v>
      </c>
      <c r="C14" s="152" t="s">
        <v>42</v>
      </c>
      <c r="D14" s="153">
        <v>4596709.33</v>
      </c>
      <c r="E14" s="154"/>
      <c r="F14" s="149"/>
      <c r="G14" s="1">
        <f>F13+G13</f>
        <v>0</v>
      </c>
      <c r="H14" s="1" t="s">
        <v>43</v>
      </c>
      <c r="I14" s="2">
        <f>D14+D15+D16+D17</f>
        <v>14467557.5</v>
      </c>
      <c r="L14" s="2">
        <f>E14+E15+E16+E17</f>
        <v>0</v>
      </c>
      <c r="M14" s="3">
        <f>+I14+J14-K14-L14</f>
        <v>14467557.5</v>
      </c>
      <c r="N14" s="2">
        <f>-M14</f>
        <v>-14467557.5</v>
      </c>
      <c r="O14" s="2"/>
      <c r="P14" s="2"/>
      <c r="Q14" s="2"/>
      <c r="R14" s="2">
        <f t="shared" si="1"/>
        <v>0</v>
      </c>
      <c r="S14" s="18">
        <f t="shared" si="2"/>
        <v>-14467557.5</v>
      </c>
      <c r="X14" s="2"/>
    </row>
    <row r="15" spans="1:29" x14ac:dyDescent="0.25">
      <c r="C15" s="141" t="s">
        <v>44</v>
      </c>
      <c r="D15" s="153">
        <v>-3168022.78</v>
      </c>
      <c r="E15" s="20"/>
      <c r="F15" s="149"/>
      <c r="I15" s="2"/>
      <c r="L15" s="2"/>
      <c r="M15" s="3">
        <f>+I15+J15-K15-L15</f>
        <v>0</v>
      </c>
      <c r="N15" s="2"/>
      <c r="O15" s="2"/>
      <c r="P15" s="2"/>
      <c r="Q15" s="2"/>
      <c r="R15" s="2">
        <f t="shared" si="1"/>
        <v>0</v>
      </c>
      <c r="S15" s="18">
        <f t="shared" si="2"/>
        <v>0</v>
      </c>
      <c r="X15" s="2"/>
    </row>
    <row r="16" spans="1:29" x14ac:dyDescent="0.25">
      <c r="A16" s="139" t="s">
        <v>40</v>
      </c>
      <c r="C16" s="141" t="s">
        <v>45</v>
      </c>
      <c r="D16" s="153">
        <v>11463789.84</v>
      </c>
      <c r="E16" s="20"/>
      <c r="F16" s="147"/>
      <c r="G16" s="19">
        <f>E16-F16</f>
        <v>0</v>
      </c>
      <c r="I16" s="2"/>
      <c r="L16" s="2"/>
      <c r="M16" s="3">
        <v>0</v>
      </c>
      <c r="N16" s="2"/>
      <c r="O16" s="2"/>
      <c r="P16" s="2"/>
      <c r="Q16" s="2"/>
      <c r="R16" s="2">
        <f t="shared" si="1"/>
        <v>0</v>
      </c>
      <c r="S16" s="18">
        <f t="shared" si="2"/>
        <v>0</v>
      </c>
      <c r="X16" s="2"/>
    </row>
    <row r="17" spans="1:24" x14ac:dyDescent="0.25">
      <c r="A17" s="139" t="s">
        <v>40</v>
      </c>
      <c r="C17" s="152" t="s">
        <v>46</v>
      </c>
      <c r="D17" s="153">
        <v>1575081.11</v>
      </c>
      <c r="E17" s="20"/>
      <c r="F17" s="147"/>
      <c r="G17" s="19"/>
      <c r="I17" s="2"/>
      <c r="L17" s="2"/>
      <c r="M17" s="3">
        <f t="shared" ref="M17:M81" si="3">+I17+J17-K17-L17</f>
        <v>0</v>
      </c>
      <c r="N17" s="2"/>
      <c r="O17" s="2"/>
      <c r="P17" s="2"/>
      <c r="Q17" s="2"/>
      <c r="R17" s="2">
        <f t="shared" si="1"/>
        <v>0</v>
      </c>
      <c r="S17" s="18">
        <f t="shared" si="2"/>
        <v>0</v>
      </c>
      <c r="X17" s="2"/>
    </row>
    <row r="18" spans="1:24" x14ac:dyDescent="0.25">
      <c r="A18" s="139" t="s">
        <v>47</v>
      </c>
      <c r="C18" s="152" t="s">
        <v>48</v>
      </c>
      <c r="D18" s="153">
        <v>0</v>
      </c>
      <c r="E18" s="20"/>
      <c r="F18" s="147"/>
      <c r="G18" s="2"/>
      <c r="H18" s="1" t="str">
        <f>+C18</f>
        <v>CI 7297 Prevencion para Des. Temp. Ciclonica</v>
      </c>
      <c r="I18" s="2">
        <f>D18</f>
        <v>0</v>
      </c>
      <c r="L18" s="2"/>
      <c r="M18" s="3">
        <f t="shared" si="3"/>
        <v>0</v>
      </c>
      <c r="N18" s="2">
        <f>-M18</f>
        <v>0</v>
      </c>
      <c r="O18" s="2"/>
      <c r="P18" s="2"/>
      <c r="R18" s="2">
        <f t="shared" si="1"/>
        <v>0</v>
      </c>
      <c r="S18" s="18">
        <f t="shared" si="2"/>
        <v>0</v>
      </c>
      <c r="X18" s="2"/>
    </row>
    <row r="19" spans="1:24" x14ac:dyDescent="0.25">
      <c r="A19" s="139" t="s">
        <v>49</v>
      </c>
      <c r="C19" s="141" t="s">
        <v>50</v>
      </c>
      <c r="D19" s="153">
        <v>1096410.1399999999</v>
      </c>
      <c r="E19" s="154"/>
      <c r="F19" s="149"/>
      <c r="G19" s="1" t="s">
        <v>51</v>
      </c>
      <c r="H19" s="1" t="str">
        <f>+C19</f>
        <v>Material gastable</v>
      </c>
      <c r="I19" s="2">
        <f>D19</f>
        <v>1096410.1399999999</v>
      </c>
      <c r="L19" s="2">
        <f>E19</f>
        <v>0</v>
      </c>
      <c r="M19" s="3">
        <f t="shared" si="3"/>
        <v>1096410.1399999999</v>
      </c>
      <c r="N19" s="2">
        <f>-M19</f>
        <v>-1096410.1399999999</v>
      </c>
      <c r="O19" s="2"/>
      <c r="P19" s="2"/>
      <c r="R19" s="2">
        <f>SUM(M19:Q19)</f>
        <v>0</v>
      </c>
      <c r="S19" s="18">
        <f t="shared" si="2"/>
        <v>-1096410.1399999999</v>
      </c>
      <c r="V19" s="2"/>
      <c r="X19" s="2"/>
    </row>
    <row r="20" spans="1:24" x14ac:dyDescent="0.25">
      <c r="A20" s="139" t="s">
        <v>52</v>
      </c>
      <c r="C20" s="141" t="s">
        <v>53</v>
      </c>
      <c r="D20" s="153"/>
      <c r="E20" s="20"/>
      <c r="F20" s="149"/>
      <c r="I20" s="2">
        <f>D20</f>
        <v>0</v>
      </c>
      <c r="L20" s="2"/>
      <c r="M20" s="3">
        <f t="shared" si="3"/>
        <v>0</v>
      </c>
      <c r="N20" s="2">
        <f>-M20</f>
        <v>0</v>
      </c>
      <c r="O20" s="2"/>
      <c r="P20" s="2">
        <f>M3-'[1]ECANP-Cambio Patrimonio'!M21</f>
        <v>0</v>
      </c>
      <c r="R20" s="2">
        <f t="shared" si="1"/>
        <v>0</v>
      </c>
      <c r="S20" s="18">
        <f t="shared" si="2"/>
        <v>0</v>
      </c>
      <c r="V20" s="2">
        <f>+N20</f>
        <v>0</v>
      </c>
      <c r="X20" s="2">
        <f>SUM(S20:W20)-N20</f>
        <v>0</v>
      </c>
    </row>
    <row r="21" spans="1:24" x14ac:dyDescent="0.25">
      <c r="A21" s="139" t="s">
        <v>54</v>
      </c>
      <c r="C21" s="141" t="s">
        <v>55</v>
      </c>
      <c r="D21" s="138">
        <v>181465491.75999999</v>
      </c>
      <c r="E21" s="20">
        <v>3653530.2</v>
      </c>
      <c r="F21" s="148">
        <v>642444</v>
      </c>
      <c r="G21" s="1" t="s">
        <v>56</v>
      </c>
      <c r="H21" s="1" t="str">
        <f>+C21</f>
        <v>Mobiliarios y equipos de oficina</v>
      </c>
      <c r="I21" s="2">
        <f>D21</f>
        <v>181465491.75999999</v>
      </c>
      <c r="J21" s="3"/>
      <c r="L21" s="2">
        <f>E21</f>
        <v>3653530.2</v>
      </c>
      <c r="M21" s="3">
        <f t="shared" si="3"/>
        <v>177811961.56</v>
      </c>
      <c r="N21" s="2">
        <f>-M21</f>
        <v>-177811961.56</v>
      </c>
      <c r="O21" s="2"/>
      <c r="P21" s="2"/>
      <c r="R21" s="2"/>
      <c r="S21" s="18">
        <f t="shared" si="2"/>
        <v>-177811961.56</v>
      </c>
      <c r="X21" s="2">
        <f>SUM(S21:W21)-N21</f>
        <v>0</v>
      </c>
    </row>
    <row r="22" spans="1:24" x14ac:dyDescent="0.25">
      <c r="A22" s="139" t="s">
        <v>54</v>
      </c>
      <c r="C22" s="141" t="s">
        <v>57</v>
      </c>
      <c r="D22" s="138">
        <v>-121975545.13</v>
      </c>
      <c r="E22" s="20">
        <f>D21+E21</f>
        <v>185119021.95999998</v>
      </c>
      <c r="F22" s="148"/>
      <c r="H22" s="1" t="str">
        <f>+C22</f>
        <v>Depreciación acumulada</v>
      </c>
      <c r="I22" s="2">
        <f>D22</f>
        <v>-121975545.13</v>
      </c>
      <c r="J22" s="21"/>
      <c r="K22" s="3"/>
      <c r="L22" s="2">
        <f>E22</f>
        <v>185119021.95999998</v>
      </c>
      <c r="M22" s="3">
        <f t="shared" si="3"/>
        <v>-307094567.08999997</v>
      </c>
      <c r="N22" s="2">
        <f>-M22</f>
        <v>307094567.08999997</v>
      </c>
      <c r="O22" s="2"/>
      <c r="P22" s="2">
        <f>M5-'[1]ECANP-Cambio Patrimonio'!M23</f>
        <v>0</v>
      </c>
      <c r="R22" s="2">
        <f t="shared" si="1"/>
        <v>0</v>
      </c>
      <c r="S22" s="18">
        <f t="shared" si="2"/>
        <v>307094567.08999997</v>
      </c>
      <c r="X22" s="2">
        <f>SUM(S22:W22)-N22</f>
        <v>0</v>
      </c>
    </row>
    <row r="23" spans="1:24" x14ac:dyDescent="0.25">
      <c r="A23" s="139" t="s">
        <v>58</v>
      </c>
      <c r="C23" s="141" t="s">
        <v>59</v>
      </c>
      <c r="D23" s="153"/>
      <c r="E23" s="20">
        <f>D21+D22</f>
        <v>59489946.629999995</v>
      </c>
      <c r="F23" s="148">
        <f>D21+F21</f>
        <v>182107935.75999999</v>
      </c>
      <c r="G23" s="1" t="s">
        <v>56</v>
      </c>
      <c r="H23" s="1" t="str">
        <f>+C23</f>
        <v>Intangibles</v>
      </c>
      <c r="I23" s="2">
        <f>+D23</f>
        <v>0</v>
      </c>
      <c r="J23" s="3"/>
      <c r="K23" s="2"/>
      <c r="L23" s="2"/>
      <c r="M23" s="3">
        <f t="shared" si="3"/>
        <v>0</v>
      </c>
      <c r="O23" s="2">
        <f>-M23</f>
        <v>0</v>
      </c>
      <c r="R23" s="2">
        <f t="shared" si="1"/>
        <v>0</v>
      </c>
      <c r="S23" s="18">
        <f t="shared" si="2"/>
        <v>0</v>
      </c>
      <c r="X23" s="2"/>
    </row>
    <row r="24" spans="1:24" x14ac:dyDescent="0.25">
      <c r="A24" s="139" t="s">
        <v>58</v>
      </c>
      <c r="C24" s="141" t="s">
        <v>60</v>
      </c>
      <c r="D24" s="153"/>
      <c r="E24" s="20"/>
      <c r="F24" s="148"/>
      <c r="H24" s="1" t="str">
        <f>+C24</f>
        <v>Amortización</v>
      </c>
      <c r="I24" s="2">
        <f>+D24</f>
        <v>0</v>
      </c>
      <c r="J24" s="2"/>
      <c r="K24" s="2"/>
      <c r="L24" s="2"/>
      <c r="M24" s="3">
        <f t="shared" si="3"/>
        <v>0</v>
      </c>
      <c r="O24" s="2">
        <f t="shared" ref="O24:O88" si="4">-M24</f>
        <v>0</v>
      </c>
      <c r="R24" s="2">
        <f t="shared" si="1"/>
        <v>0</v>
      </c>
      <c r="S24" s="18">
        <f t="shared" si="2"/>
        <v>0</v>
      </c>
      <c r="X24" s="2"/>
    </row>
    <row r="25" spans="1:24" x14ac:dyDescent="0.25">
      <c r="D25" s="153"/>
      <c r="E25" s="20"/>
      <c r="F25" s="148"/>
      <c r="I25" s="2"/>
      <c r="J25" s="2"/>
      <c r="K25" s="2"/>
      <c r="L25" s="2"/>
      <c r="M25" s="3">
        <f t="shared" si="3"/>
        <v>0</v>
      </c>
      <c r="O25" s="2">
        <f t="shared" si="4"/>
        <v>0</v>
      </c>
      <c r="R25" s="2">
        <f t="shared" si="1"/>
        <v>0</v>
      </c>
      <c r="S25" s="18">
        <f t="shared" si="2"/>
        <v>0</v>
      </c>
      <c r="X25" s="2"/>
    </row>
    <row r="26" spans="1:24" x14ac:dyDescent="0.25">
      <c r="A26" s="139" t="s">
        <v>33</v>
      </c>
      <c r="C26" s="151" t="s">
        <v>61</v>
      </c>
      <c r="D26" s="153"/>
      <c r="E26" s="20"/>
      <c r="F26" s="149"/>
      <c r="I26" s="2"/>
      <c r="J26" s="2"/>
      <c r="K26" s="2"/>
      <c r="L26" s="2"/>
      <c r="M26" s="3">
        <f t="shared" si="3"/>
        <v>0</v>
      </c>
      <c r="O26" s="2">
        <f t="shared" si="4"/>
        <v>0</v>
      </c>
      <c r="R26" s="2">
        <f t="shared" si="1"/>
        <v>0</v>
      </c>
      <c r="S26" s="18">
        <f t="shared" si="2"/>
        <v>0</v>
      </c>
      <c r="X26" s="2"/>
    </row>
    <row r="27" spans="1:24" x14ac:dyDescent="0.25">
      <c r="A27" s="139" t="s">
        <v>62</v>
      </c>
      <c r="C27" s="141" t="s">
        <v>63</v>
      </c>
      <c r="D27" s="154">
        <v>3004829.9</v>
      </c>
      <c r="E27" s="20">
        <v>-11393773</v>
      </c>
      <c r="F27" s="148">
        <f>E27-'[2]EFE-Flujo de Efectivo'!C53</f>
        <v>-5617877.4699999997</v>
      </c>
      <c r="G27" s="1" t="s">
        <v>51</v>
      </c>
      <c r="H27" s="1" t="str">
        <f>+C27</f>
        <v>Cuentas por pagar</v>
      </c>
      <c r="I27" s="2">
        <f>+D27</f>
        <v>3004829.9</v>
      </c>
      <c r="J27" s="2"/>
      <c r="K27" s="2"/>
      <c r="L27" s="2"/>
      <c r="M27" s="3">
        <f t="shared" si="3"/>
        <v>3004829.9</v>
      </c>
      <c r="N27" s="2">
        <f>-M27</f>
        <v>-3004829.9</v>
      </c>
      <c r="O27" s="2">
        <f t="shared" si="4"/>
        <v>-3004829.9</v>
      </c>
      <c r="R27" s="2">
        <f>SUM(M27:Q27)</f>
        <v>-3004829.9</v>
      </c>
      <c r="S27" s="18">
        <f t="shared" si="2"/>
        <v>-3004829.9</v>
      </c>
      <c r="V27" s="2"/>
      <c r="X27" s="2">
        <f>SUM(S27:W27)-N27</f>
        <v>0</v>
      </c>
    </row>
    <row r="28" spans="1:24" x14ac:dyDescent="0.25">
      <c r="A28" s="139" t="s">
        <v>64</v>
      </c>
      <c r="C28" s="141" t="s">
        <v>65</v>
      </c>
      <c r="D28" s="154">
        <v>612254.1</v>
      </c>
      <c r="E28" s="20">
        <v>-474803</v>
      </c>
      <c r="F28" s="148">
        <f>D28-E28</f>
        <v>1087057.1000000001</v>
      </c>
      <c r="H28" s="1" t="str">
        <f>+C28</f>
        <v>Retenciones y acumulaciones por pagar</v>
      </c>
      <c r="I28" s="2">
        <f>+D28</f>
        <v>612254.1</v>
      </c>
      <c r="J28" s="2"/>
      <c r="K28" s="2"/>
      <c r="L28" s="2">
        <f>E28</f>
        <v>-474803</v>
      </c>
      <c r="M28" s="3">
        <f t="shared" si="3"/>
        <v>1087057.1000000001</v>
      </c>
      <c r="N28" s="2">
        <f>-M28</f>
        <v>-1087057.1000000001</v>
      </c>
      <c r="O28" s="2">
        <f t="shared" si="4"/>
        <v>-1087057.1000000001</v>
      </c>
      <c r="R28" s="2">
        <f t="shared" si="1"/>
        <v>-1087057.1000000001</v>
      </c>
      <c r="S28" s="18">
        <f t="shared" si="2"/>
        <v>-1087057.1000000001</v>
      </c>
      <c r="X28" s="2">
        <f>SUM(S28:W28)-N28</f>
        <v>0</v>
      </c>
    </row>
    <row r="29" spans="1:24" x14ac:dyDescent="0.25">
      <c r="C29" s="141" t="s">
        <v>66</v>
      </c>
      <c r="D29" s="153"/>
      <c r="E29" s="20"/>
      <c r="F29" s="148">
        <f>D29-E29</f>
        <v>0</v>
      </c>
      <c r="I29" s="2"/>
      <c r="J29" s="2"/>
      <c r="K29" s="2"/>
      <c r="L29" s="2"/>
      <c r="M29" s="3">
        <f t="shared" si="3"/>
        <v>0</v>
      </c>
      <c r="N29" s="2"/>
      <c r="O29" s="2">
        <f t="shared" si="4"/>
        <v>0</v>
      </c>
      <c r="R29" s="2">
        <f t="shared" si="1"/>
        <v>0</v>
      </c>
      <c r="S29" s="18">
        <f t="shared" si="2"/>
        <v>0</v>
      </c>
      <c r="X29" s="2"/>
    </row>
    <row r="30" spans="1:24" x14ac:dyDescent="0.25">
      <c r="A30" s="139" t="s">
        <v>33</v>
      </c>
      <c r="C30" s="151" t="s">
        <v>67</v>
      </c>
      <c r="D30" s="153"/>
      <c r="E30" s="20"/>
      <c r="F30" s="147"/>
      <c r="I30" s="2"/>
      <c r="J30" s="2"/>
      <c r="K30" s="2"/>
      <c r="L30" s="2"/>
      <c r="M30" s="3">
        <f t="shared" si="3"/>
        <v>0</v>
      </c>
      <c r="N30" s="2"/>
      <c r="O30" s="2">
        <f t="shared" si="4"/>
        <v>0</v>
      </c>
      <c r="R30" s="2">
        <f t="shared" si="1"/>
        <v>0</v>
      </c>
      <c r="S30" s="18">
        <f t="shared" si="2"/>
        <v>0</v>
      </c>
      <c r="X30" s="2"/>
    </row>
    <row r="31" spans="1:24" x14ac:dyDescent="0.25">
      <c r="C31" s="155" t="s">
        <v>68</v>
      </c>
      <c r="D31" s="153">
        <f>'[2]ECANP-Cambio Patrimonio'!D20</f>
        <v>51695326</v>
      </c>
      <c r="E31" s="145"/>
      <c r="F31" s="147"/>
      <c r="I31" s="2">
        <f>D31</f>
        <v>51695326</v>
      </c>
      <c r="J31" s="2"/>
      <c r="K31" s="2"/>
      <c r="L31" s="2">
        <f>E31</f>
        <v>0</v>
      </c>
      <c r="M31" s="3">
        <f t="shared" si="3"/>
        <v>51695326</v>
      </c>
      <c r="N31" s="2">
        <f>-M31</f>
        <v>-51695326</v>
      </c>
      <c r="O31" s="2">
        <f t="shared" si="4"/>
        <v>-51695326</v>
      </c>
      <c r="R31" s="2">
        <f t="shared" si="1"/>
        <v>-51695326</v>
      </c>
      <c r="S31" s="18">
        <f t="shared" si="2"/>
        <v>-51695326</v>
      </c>
      <c r="X31" s="2"/>
    </row>
    <row r="32" spans="1:24" x14ac:dyDescent="0.25">
      <c r="A32" s="139" t="s">
        <v>69</v>
      </c>
      <c r="C32" s="141" t="s">
        <v>70</v>
      </c>
      <c r="D32" s="153">
        <f>'[2]ECANP-Cambio Patrimonio'!G13</f>
        <v>18555016.600000001</v>
      </c>
      <c r="E32" s="145"/>
      <c r="F32" s="147">
        <v>2098358.34</v>
      </c>
      <c r="H32" s="1" t="str">
        <f>+C32</f>
        <v>Resultado acumulado</v>
      </c>
      <c r="I32" s="2">
        <f>D32</f>
        <v>18555016.600000001</v>
      </c>
      <c r="J32" s="2"/>
      <c r="K32" s="2"/>
      <c r="L32" s="2">
        <f>E32</f>
        <v>0</v>
      </c>
      <c r="M32" s="3">
        <f>+I32+J32-K32-L32</f>
        <v>18555016.600000001</v>
      </c>
      <c r="N32" s="2">
        <f>-M32</f>
        <v>-18555016.600000001</v>
      </c>
      <c r="O32" s="2">
        <f t="shared" si="4"/>
        <v>-18555016.600000001</v>
      </c>
      <c r="R32" s="2">
        <f t="shared" si="1"/>
        <v>-18555016.600000001</v>
      </c>
      <c r="S32" s="18">
        <f t="shared" si="2"/>
        <v>-18555016.600000001</v>
      </c>
      <c r="V32" s="2"/>
      <c r="X32" s="2">
        <f>SUM(S32:W32)-N32</f>
        <v>0</v>
      </c>
    </row>
    <row r="33" spans="1:24" ht="15" customHeight="1" x14ac:dyDescent="0.25">
      <c r="A33" s="139" t="s">
        <v>71</v>
      </c>
      <c r="C33" s="141" t="s">
        <v>72</v>
      </c>
      <c r="D33" s="153">
        <f>'ECANP-Cambio Patrimonio'!G19</f>
        <v>-721568.36000000313</v>
      </c>
      <c r="E33" s="145"/>
      <c r="F33" s="147"/>
      <c r="H33" s="1" t="str">
        <f>+C33</f>
        <v>Resultado del período</v>
      </c>
      <c r="I33" s="2">
        <f>D33</f>
        <v>-721568.36000000313</v>
      </c>
      <c r="J33" s="2"/>
      <c r="K33" s="2"/>
      <c r="L33" s="2">
        <f>E33</f>
        <v>0</v>
      </c>
      <c r="M33" s="3">
        <f>+I33+J33-K33-L33</f>
        <v>-721568.36000000313</v>
      </c>
      <c r="N33" s="2">
        <f>-M33</f>
        <v>721568.36000000313</v>
      </c>
      <c r="O33" s="2">
        <f t="shared" si="4"/>
        <v>721568.36000000313</v>
      </c>
      <c r="R33" s="2">
        <f t="shared" si="1"/>
        <v>721568.36000000313</v>
      </c>
      <c r="S33" s="18">
        <f t="shared" si="2"/>
        <v>721568.36000000313</v>
      </c>
      <c r="X33" s="2"/>
    </row>
    <row r="34" spans="1:24" s="23" customFormat="1" ht="15.6" customHeight="1" x14ac:dyDescent="0.25">
      <c r="A34" s="139"/>
      <c r="B34" s="140"/>
      <c r="C34" s="141" t="s">
        <v>73</v>
      </c>
      <c r="D34" s="153"/>
      <c r="E34" s="155"/>
      <c r="F34" s="153"/>
      <c r="H34" s="1" t="str">
        <f>+C34</f>
        <v>Ajustes</v>
      </c>
      <c r="I34" s="2">
        <f>D37</f>
        <v>-625500</v>
      </c>
      <c r="J34" s="8"/>
      <c r="L34" s="8"/>
      <c r="M34" s="3">
        <f t="shared" si="3"/>
        <v>-625500</v>
      </c>
      <c r="N34" s="2">
        <f>-M34</f>
        <v>625500</v>
      </c>
      <c r="O34" s="2">
        <f t="shared" si="4"/>
        <v>625500</v>
      </c>
      <c r="P34" s="1"/>
      <c r="R34" s="2">
        <f t="shared" si="1"/>
        <v>625500</v>
      </c>
      <c r="S34" s="18">
        <f t="shared" si="2"/>
        <v>625500</v>
      </c>
      <c r="X34" s="8"/>
    </row>
    <row r="35" spans="1:24" s="23" customFormat="1" x14ac:dyDescent="0.25">
      <c r="A35" s="139"/>
      <c r="B35" s="140"/>
      <c r="C35" s="141"/>
      <c r="D35" s="153"/>
      <c r="E35" s="155"/>
      <c r="F35" s="153"/>
      <c r="H35" s="8"/>
      <c r="I35" s="2">
        <f>D38</f>
        <v>-15685277.5</v>
      </c>
      <c r="J35" s="8"/>
      <c r="L35" s="8"/>
      <c r="M35" s="3">
        <f t="shared" si="3"/>
        <v>-15685277.5</v>
      </c>
      <c r="N35" s="8"/>
      <c r="O35" s="2">
        <f t="shared" si="4"/>
        <v>15685277.5</v>
      </c>
      <c r="P35" s="1"/>
      <c r="R35" s="2">
        <f>SUM(M35:Q35)</f>
        <v>0</v>
      </c>
      <c r="S35" s="18">
        <f t="shared" si="2"/>
        <v>15685277.5</v>
      </c>
      <c r="X35" s="8"/>
    </row>
    <row r="36" spans="1:24" s="23" customFormat="1" x14ac:dyDescent="0.25">
      <c r="A36" s="139" t="s">
        <v>33</v>
      </c>
      <c r="B36" s="140"/>
      <c r="C36" s="151" t="s">
        <v>74</v>
      </c>
      <c r="D36" s="153"/>
      <c r="E36" s="145"/>
      <c r="F36" s="153"/>
      <c r="I36" s="2">
        <f>D40</f>
        <v>0</v>
      </c>
      <c r="L36" s="8"/>
      <c r="M36" s="3">
        <f t="shared" si="3"/>
        <v>0</v>
      </c>
      <c r="N36" s="8">
        <f>-M36</f>
        <v>0</v>
      </c>
      <c r="O36" s="2">
        <f t="shared" si="4"/>
        <v>0</v>
      </c>
      <c r="P36" s="1"/>
      <c r="R36" s="2">
        <f t="shared" si="1"/>
        <v>0</v>
      </c>
      <c r="S36" s="18">
        <f t="shared" si="2"/>
        <v>0</v>
      </c>
      <c r="X36" s="8">
        <f t="shared" ref="X36:X60" si="5">SUM(S36:W36)-N36</f>
        <v>0</v>
      </c>
    </row>
    <row r="37" spans="1:24" s="24" customFormat="1" x14ac:dyDescent="0.25">
      <c r="A37" s="156" t="s">
        <v>75</v>
      </c>
      <c r="B37" s="157"/>
      <c r="C37" s="141" t="s">
        <v>76</v>
      </c>
      <c r="D37" s="158">
        <v>-625500</v>
      </c>
      <c r="E37" s="145"/>
      <c r="F37" s="145"/>
      <c r="H37" s="24" t="s">
        <v>76</v>
      </c>
      <c r="I37" s="2">
        <f>D41</f>
        <v>0</v>
      </c>
      <c r="L37" s="18">
        <f>E37</f>
        <v>0</v>
      </c>
      <c r="M37" s="3">
        <f t="shared" si="3"/>
        <v>0</v>
      </c>
      <c r="N37" s="18">
        <f>-M37</f>
        <v>0</v>
      </c>
      <c r="O37" s="2">
        <f t="shared" si="4"/>
        <v>0</v>
      </c>
      <c r="P37" s="1"/>
      <c r="R37" s="2">
        <f t="shared" si="1"/>
        <v>0</v>
      </c>
      <c r="S37" s="18">
        <f t="shared" si="2"/>
        <v>0</v>
      </c>
      <c r="X37" s="18"/>
    </row>
    <row r="38" spans="1:24" s="24" customFormat="1" x14ac:dyDescent="0.25">
      <c r="A38" s="156" t="s">
        <v>77</v>
      </c>
      <c r="B38" s="157"/>
      <c r="C38" s="141" t="s">
        <v>78</v>
      </c>
      <c r="D38" s="158">
        <v>-15685277.5</v>
      </c>
      <c r="E38" s="145"/>
      <c r="F38" s="145"/>
      <c r="H38" s="24" t="s">
        <v>78</v>
      </c>
      <c r="I38" s="8">
        <f>D38</f>
        <v>-15685277.5</v>
      </c>
      <c r="L38" s="18">
        <f>E38</f>
        <v>0</v>
      </c>
      <c r="M38" s="3">
        <f t="shared" si="3"/>
        <v>-15685277.5</v>
      </c>
      <c r="N38" s="18">
        <f>-M38</f>
        <v>15685277.5</v>
      </c>
      <c r="O38" s="2">
        <f t="shared" si="4"/>
        <v>15685277.5</v>
      </c>
      <c r="P38" s="1"/>
      <c r="R38" s="2">
        <f t="shared" si="1"/>
        <v>15685277.5</v>
      </c>
      <c r="S38" s="18">
        <f>-M38</f>
        <v>15685277.5</v>
      </c>
      <c r="X38" s="18"/>
    </row>
    <row r="39" spans="1:24" s="24" customFormat="1" x14ac:dyDescent="0.25">
      <c r="A39" s="156" t="s">
        <v>77</v>
      </c>
      <c r="B39" s="157"/>
      <c r="C39" s="141" t="s">
        <v>79</v>
      </c>
      <c r="D39" s="158"/>
      <c r="E39" s="145"/>
      <c r="F39" s="145"/>
      <c r="I39" s="8"/>
      <c r="L39" s="18"/>
      <c r="M39" s="3"/>
      <c r="N39" s="18"/>
      <c r="O39" s="2"/>
      <c r="P39" s="1"/>
      <c r="R39" s="2"/>
      <c r="S39" s="18"/>
      <c r="X39" s="18"/>
    </row>
    <row r="40" spans="1:24" s="22" customFormat="1" x14ac:dyDescent="0.25">
      <c r="A40" s="156" t="s">
        <v>80</v>
      </c>
      <c r="B40" s="157"/>
      <c r="C40" s="141" t="s">
        <v>81</v>
      </c>
      <c r="D40" s="158"/>
      <c r="E40" s="155"/>
      <c r="F40" s="159"/>
      <c r="H40" s="22" t="str">
        <f>+C40</f>
        <v>Recargos, multas y otros ingresos</v>
      </c>
      <c r="I40" s="2">
        <f>F2</f>
        <v>0</v>
      </c>
      <c r="L40" s="18"/>
      <c r="M40" s="3">
        <f t="shared" si="3"/>
        <v>0</v>
      </c>
      <c r="N40" s="18">
        <f>-M40</f>
        <v>0</v>
      </c>
      <c r="O40" s="2">
        <f t="shared" si="4"/>
        <v>0</v>
      </c>
      <c r="P40" s="1"/>
      <c r="R40" s="2">
        <f t="shared" si="1"/>
        <v>0</v>
      </c>
      <c r="S40" s="18">
        <f t="shared" ref="S40:S51" si="6">-M40</f>
        <v>0</v>
      </c>
      <c r="X40" s="3">
        <f t="shared" si="5"/>
        <v>0</v>
      </c>
    </row>
    <row r="41" spans="1:24" s="23" customFormat="1" x14ac:dyDescent="0.25">
      <c r="A41" s="139"/>
      <c r="B41" s="140"/>
      <c r="C41" s="141"/>
      <c r="D41" s="153"/>
      <c r="E41" s="145"/>
      <c r="F41" s="141"/>
      <c r="I41" s="8"/>
      <c r="L41" s="18">
        <f>E41</f>
        <v>0</v>
      </c>
      <c r="M41" s="3">
        <f t="shared" si="3"/>
        <v>0</v>
      </c>
      <c r="N41" s="8"/>
      <c r="O41" s="2">
        <f t="shared" si="4"/>
        <v>0</v>
      </c>
      <c r="P41" s="1"/>
      <c r="R41" s="2">
        <f t="shared" si="1"/>
        <v>0</v>
      </c>
      <c r="S41" s="18">
        <f t="shared" si="6"/>
        <v>0</v>
      </c>
      <c r="X41" s="8">
        <f t="shared" si="5"/>
        <v>0</v>
      </c>
    </row>
    <row r="42" spans="1:24" s="23" customFormat="1" x14ac:dyDescent="0.25">
      <c r="A42" s="139" t="s">
        <v>33</v>
      </c>
      <c r="B42" s="140"/>
      <c r="C42" s="151" t="s">
        <v>82</v>
      </c>
      <c r="D42" s="153"/>
      <c r="E42" s="145"/>
      <c r="F42" s="141"/>
      <c r="I42" s="8"/>
      <c r="L42" s="8"/>
      <c r="M42" s="3">
        <f t="shared" si="3"/>
        <v>0</v>
      </c>
      <c r="N42" s="8"/>
      <c r="O42" s="2">
        <f t="shared" si="4"/>
        <v>0</v>
      </c>
      <c r="P42" s="1"/>
      <c r="R42" s="2">
        <f t="shared" si="1"/>
        <v>0</v>
      </c>
      <c r="S42" s="18">
        <f t="shared" si="6"/>
        <v>0</v>
      </c>
      <c r="X42" s="8">
        <f t="shared" si="5"/>
        <v>0</v>
      </c>
    </row>
    <row r="43" spans="1:24" s="23" customFormat="1" x14ac:dyDescent="0.25">
      <c r="A43" s="139"/>
      <c r="B43" s="140"/>
      <c r="C43" s="6" t="s">
        <v>83</v>
      </c>
      <c r="D43" s="153"/>
      <c r="E43" s="145"/>
      <c r="F43" s="141"/>
      <c r="L43" s="8"/>
      <c r="M43" s="3">
        <f t="shared" si="3"/>
        <v>0</v>
      </c>
      <c r="N43" s="8"/>
      <c r="O43" s="2">
        <f t="shared" si="4"/>
        <v>0</v>
      </c>
      <c r="P43" s="1"/>
      <c r="R43" s="2">
        <f t="shared" si="1"/>
        <v>0</v>
      </c>
      <c r="S43" s="18">
        <f t="shared" si="6"/>
        <v>0</v>
      </c>
      <c r="X43" s="8">
        <f t="shared" si="5"/>
        <v>0</v>
      </c>
    </row>
    <row r="44" spans="1:24" s="23" customFormat="1" x14ac:dyDescent="0.25">
      <c r="A44" s="139"/>
      <c r="B44" s="140"/>
      <c r="C44" s="6" t="s">
        <v>84</v>
      </c>
      <c r="D44" s="153"/>
      <c r="E44" s="145"/>
      <c r="F44" s="141"/>
      <c r="L44" s="8"/>
      <c r="M44" s="3">
        <f t="shared" si="3"/>
        <v>0</v>
      </c>
      <c r="N44" s="8"/>
      <c r="O44" s="2">
        <f t="shared" si="4"/>
        <v>0</v>
      </c>
      <c r="P44" s="1"/>
      <c r="R44" s="2">
        <f t="shared" si="1"/>
        <v>0</v>
      </c>
      <c r="S44" s="18">
        <f t="shared" si="6"/>
        <v>0</v>
      </c>
      <c r="X44" s="8">
        <f t="shared" si="5"/>
        <v>0</v>
      </c>
    </row>
    <row r="45" spans="1:24" x14ac:dyDescent="0.25">
      <c r="A45" s="139" t="s">
        <v>85</v>
      </c>
      <c r="B45" s="140" t="s">
        <v>86</v>
      </c>
      <c r="C45" s="160" t="s">
        <v>87</v>
      </c>
      <c r="D45" s="153">
        <v>9268780.5</v>
      </c>
      <c r="E45" s="145"/>
      <c r="G45" s="1" t="s">
        <v>51</v>
      </c>
      <c r="H45" s="1" t="str">
        <f t="shared" ref="H45:H50" si="7">+C45</f>
        <v>Sueldos fijos</v>
      </c>
      <c r="I45" s="2">
        <f>D45</f>
        <v>9268780.5</v>
      </c>
      <c r="L45" s="2">
        <f>E45</f>
        <v>0</v>
      </c>
      <c r="M45" s="3">
        <f t="shared" si="3"/>
        <v>9268780.5</v>
      </c>
      <c r="N45" s="2">
        <f t="shared" ref="N45:N108" si="8">-M45</f>
        <v>-9268780.5</v>
      </c>
      <c r="O45" s="2">
        <f t="shared" si="4"/>
        <v>-9268780.5</v>
      </c>
      <c r="R45" s="2">
        <f t="shared" si="1"/>
        <v>-9268780.5</v>
      </c>
      <c r="S45" s="18">
        <f t="shared" si="6"/>
        <v>-9268780.5</v>
      </c>
      <c r="T45" s="2">
        <f>M45</f>
        <v>9268780.5</v>
      </c>
      <c r="U45" s="2"/>
      <c r="X45" s="2">
        <f t="shared" si="5"/>
        <v>9268780.5</v>
      </c>
    </row>
    <row r="46" spans="1:24" x14ac:dyDescent="0.25">
      <c r="A46" s="139" t="s">
        <v>85</v>
      </c>
      <c r="B46" s="140" t="s">
        <v>88</v>
      </c>
      <c r="C46" s="160" t="s">
        <v>89</v>
      </c>
      <c r="D46" s="153"/>
      <c r="E46" s="145"/>
      <c r="G46" s="1" t="s">
        <v>51</v>
      </c>
      <c r="H46" s="1" t="str">
        <f t="shared" si="7"/>
        <v>Sueldos al personal contratado y/o igualado</v>
      </c>
      <c r="I46" s="2">
        <f>+D46</f>
        <v>0</v>
      </c>
      <c r="L46" s="2">
        <f t="shared" ref="L46:L109" si="9">E46</f>
        <v>0</v>
      </c>
      <c r="M46" s="3">
        <f t="shared" si="3"/>
        <v>0</v>
      </c>
      <c r="N46" s="2">
        <f t="shared" si="8"/>
        <v>0</v>
      </c>
      <c r="O46" s="2">
        <f t="shared" si="4"/>
        <v>0</v>
      </c>
      <c r="R46" s="2">
        <f t="shared" si="1"/>
        <v>0</v>
      </c>
      <c r="S46" s="18">
        <f t="shared" si="6"/>
        <v>0</v>
      </c>
      <c r="T46" s="2">
        <f t="shared" ref="T46:T61" si="10">+N46</f>
        <v>0</v>
      </c>
      <c r="U46" s="2"/>
      <c r="X46" s="2">
        <f t="shared" si="5"/>
        <v>0</v>
      </c>
    </row>
    <row r="47" spans="1:24" x14ac:dyDescent="0.25">
      <c r="A47" s="139" t="s">
        <v>85</v>
      </c>
      <c r="B47" s="140" t="s">
        <v>54</v>
      </c>
      <c r="C47" s="160" t="s">
        <v>90</v>
      </c>
      <c r="D47" s="153"/>
      <c r="E47" s="145"/>
      <c r="G47" s="1" t="s">
        <v>51</v>
      </c>
      <c r="H47" s="1" t="str">
        <f t="shared" si="7"/>
        <v>Sueldo al personal nominal en periodo probatorio</v>
      </c>
      <c r="I47" s="2">
        <f>+D47</f>
        <v>0</v>
      </c>
      <c r="L47" s="2">
        <f t="shared" si="9"/>
        <v>0</v>
      </c>
      <c r="M47" s="3">
        <f t="shared" si="3"/>
        <v>0</v>
      </c>
      <c r="N47" s="2">
        <f t="shared" si="8"/>
        <v>0</v>
      </c>
      <c r="O47" s="2">
        <f t="shared" si="4"/>
        <v>0</v>
      </c>
      <c r="R47" s="2">
        <f t="shared" si="1"/>
        <v>0</v>
      </c>
      <c r="S47" s="18">
        <f t="shared" si="6"/>
        <v>0</v>
      </c>
      <c r="T47" s="2">
        <f t="shared" si="10"/>
        <v>0</v>
      </c>
      <c r="U47" s="2"/>
      <c r="X47" s="2">
        <f t="shared" si="5"/>
        <v>0</v>
      </c>
    </row>
    <row r="48" spans="1:24" x14ac:dyDescent="0.25">
      <c r="A48" s="139" t="s">
        <v>85</v>
      </c>
      <c r="B48" s="140" t="s">
        <v>58</v>
      </c>
      <c r="C48" s="160" t="s">
        <v>91</v>
      </c>
      <c r="D48" s="153"/>
      <c r="E48" s="145"/>
      <c r="G48" s="1" t="s">
        <v>51</v>
      </c>
      <c r="H48" s="1" t="str">
        <f t="shared" si="7"/>
        <v>Sueldo anual no. 13</v>
      </c>
      <c r="I48" s="2">
        <f>+D48</f>
        <v>0</v>
      </c>
      <c r="L48" s="2">
        <f t="shared" si="9"/>
        <v>0</v>
      </c>
      <c r="M48" s="3">
        <f t="shared" si="3"/>
        <v>0</v>
      </c>
      <c r="N48" s="2">
        <f t="shared" si="8"/>
        <v>0</v>
      </c>
      <c r="O48" s="2">
        <f t="shared" si="4"/>
        <v>0</v>
      </c>
      <c r="R48" s="2">
        <f t="shared" si="1"/>
        <v>0</v>
      </c>
      <c r="S48" s="18">
        <f t="shared" si="6"/>
        <v>0</v>
      </c>
      <c r="T48" s="2">
        <f t="shared" si="10"/>
        <v>0</v>
      </c>
      <c r="U48" s="2"/>
      <c r="X48" s="2">
        <f t="shared" si="5"/>
        <v>0</v>
      </c>
    </row>
    <row r="49" spans="1:24" x14ac:dyDescent="0.25">
      <c r="A49" s="139" t="s">
        <v>85</v>
      </c>
      <c r="B49" s="161" t="s">
        <v>92</v>
      </c>
      <c r="C49" s="141" t="s">
        <v>93</v>
      </c>
      <c r="D49" s="153"/>
      <c r="E49" s="145"/>
      <c r="H49" s="1" t="str">
        <f t="shared" si="7"/>
        <v>Prestaciones económicas</v>
      </c>
      <c r="I49" s="2">
        <f>+D49</f>
        <v>0</v>
      </c>
      <c r="L49" s="2">
        <f t="shared" si="9"/>
        <v>0</v>
      </c>
      <c r="M49" s="3">
        <f t="shared" si="3"/>
        <v>0</v>
      </c>
      <c r="N49" s="2">
        <f t="shared" si="8"/>
        <v>0</v>
      </c>
      <c r="O49" s="2">
        <f t="shared" si="4"/>
        <v>0</v>
      </c>
      <c r="R49" s="2">
        <f t="shared" si="1"/>
        <v>0</v>
      </c>
      <c r="S49" s="18">
        <f t="shared" si="6"/>
        <v>0</v>
      </c>
      <c r="T49" s="2">
        <f t="shared" si="10"/>
        <v>0</v>
      </c>
      <c r="U49" s="2"/>
      <c r="X49" s="2">
        <f t="shared" si="5"/>
        <v>0</v>
      </c>
    </row>
    <row r="50" spans="1:24" x14ac:dyDescent="0.25">
      <c r="A50" s="139" t="s">
        <v>85</v>
      </c>
      <c r="B50" s="140" t="s">
        <v>94</v>
      </c>
      <c r="C50" s="160" t="s">
        <v>95</v>
      </c>
      <c r="D50" s="153"/>
      <c r="E50" s="145"/>
      <c r="G50" s="1" t="s">
        <v>51</v>
      </c>
      <c r="H50" s="1" t="str">
        <f t="shared" si="7"/>
        <v>Proporción de vacaciones no disfrutadas</v>
      </c>
      <c r="I50" s="2">
        <f>+D50</f>
        <v>0</v>
      </c>
      <c r="L50" s="2">
        <f t="shared" si="9"/>
        <v>0</v>
      </c>
      <c r="M50" s="3">
        <f t="shared" si="3"/>
        <v>0</v>
      </c>
      <c r="N50" s="2">
        <f t="shared" si="8"/>
        <v>0</v>
      </c>
      <c r="O50" s="2">
        <f t="shared" si="4"/>
        <v>0</v>
      </c>
      <c r="R50" s="2">
        <f t="shared" si="1"/>
        <v>0</v>
      </c>
      <c r="S50" s="18">
        <f t="shared" si="6"/>
        <v>0</v>
      </c>
      <c r="T50" s="2">
        <f t="shared" si="10"/>
        <v>0</v>
      </c>
      <c r="U50" s="2"/>
      <c r="X50" s="2">
        <f t="shared" si="5"/>
        <v>0</v>
      </c>
    </row>
    <row r="51" spans="1:24" s="23" customFormat="1" x14ac:dyDescent="0.25">
      <c r="A51" s="139"/>
      <c r="B51" s="140"/>
      <c r="C51" s="6" t="s">
        <v>96</v>
      </c>
      <c r="D51" s="153"/>
      <c r="E51" s="145"/>
      <c r="F51" s="141"/>
      <c r="I51" s="8"/>
      <c r="L51" s="2">
        <f t="shared" si="9"/>
        <v>0</v>
      </c>
      <c r="M51" s="3">
        <f t="shared" si="3"/>
        <v>0</v>
      </c>
      <c r="N51" s="8">
        <f t="shared" si="8"/>
        <v>0</v>
      </c>
      <c r="O51" s="2">
        <f t="shared" si="4"/>
        <v>0</v>
      </c>
      <c r="P51" s="1"/>
      <c r="R51" s="2">
        <f t="shared" si="1"/>
        <v>0</v>
      </c>
      <c r="S51" s="18">
        <f t="shared" si="6"/>
        <v>0</v>
      </c>
      <c r="X51" s="8">
        <f t="shared" si="5"/>
        <v>0</v>
      </c>
    </row>
    <row r="52" spans="1:24" x14ac:dyDescent="0.25">
      <c r="A52" s="139" t="s">
        <v>85</v>
      </c>
      <c r="B52" s="140" t="s">
        <v>97</v>
      </c>
      <c r="C52" s="160" t="s">
        <v>98</v>
      </c>
      <c r="D52" s="153"/>
      <c r="E52" s="145"/>
      <c r="G52" s="1" t="s">
        <v>51</v>
      </c>
      <c r="H52" s="1" t="str">
        <f t="shared" ref="H52:I54" si="11">+C52</f>
        <v>Compensación por horas extraordinarias</v>
      </c>
      <c r="I52" s="2">
        <f t="shared" si="11"/>
        <v>0</v>
      </c>
      <c r="L52" s="2">
        <f t="shared" si="9"/>
        <v>0</v>
      </c>
      <c r="M52" s="3">
        <f t="shared" si="3"/>
        <v>0</v>
      </c>
      <c r="N52" s="2">
        <f t="shared" si="8"/>
        <v>0</v>
      </c>
      <c r="O52" s="2">
        <f t="shared" si="4"/>
        <v>0</v>
      </c>
      <c r="R52" s="2">
        <f>SUM(M52:Q52)</f>
        <v>0</v>
      </c>
      <c r="T52" s="2">
        <f t="shared" si="10"/>
        <v>0</v>
      </c>
      <c r="U52" s="2"/>
      <c r="X52" s="2">
        <f t="shared" si="5"/>
        <v>0</v>
      </c>
    </row>
    <row r="53" spans="1:24" x14ac:dyDescent="0.25">
      <c r="A53" s="139" t="s">
        <v>85</v>
      </c>
      <c r="B53" s="140" t="s">
        <v>62</v>
      </c>
      <c r="C53" s="160" t="s">
        <v>99</v>
      </c>
      <c r="D53" s="153"/>
      <c r="E53" s="145"/>
      <c r="G53" s="1" t="s">
        <v>51</v>
      </c>
      <c r="H53" s="1" t="str">
        <f t="shared" si="11"/>
        <v>Compensación por servicio de seguridad</v>
      </c>
      <c r="I53" s="2">
        <f t="shared" si="11"/>
        <v>0</v>
      </c>
      <c r="L53" s="2">
        <f t="shared" si="9"/>
        <v>0</v>
      </c>
      <c r="M53" s="3">
        <f t="shared" si="3"/>
        <v>0</v>
      </c>
      <c r="N53" s="2">
        <f t="shared" si="8"/>
        <v>0</v>
      </c>
      <c r="O53" s="2">
        <f t="shared" si="4"/>
        <v>0</v>
      </c>
      <c r="R53" s="2">
        <f t="shared" si="1"/>
        <v>0</v>
      </c>
      <c r="T53" s="2">
        <f t="shared" si="10"/>
        <v>0</v>
      </c>
      <c r="U53" s="2"/>
      <c r="X53" s="2">
        <f t="shared" si="5"/>
        <v>0</v>
      </c>
    </row>
    <row r="54" spans="1:24" x14ac:dyDescent="0.25">
      <c r="A54" s="139" t="s">
        <v>85</v>
      </c>
      <c r="B54" s="140" t="s">
        <v>100</v>
      </c>
      <c r="C54" s="160" t="s">
        <v>101</v>
      </c>
      <c r="D54" s="153"/>
      <c r="E54" s="145"/>
      <c r="G54" s="1" t="s">
        <v>51</v>
      </c>
      <c r="H54" s="1" t="str">
        <f t="shared" si="11"/>
        <v>Bono por desempeño</v>
      </c>
      <c r="I54" s="2">
        <f t="shared" si="11"/>
        <v>0</v>
      </c>
      <c r="L54" s="2">
        <f t="shared" si="9"/>
        <v>0</v>
      </c>
      <c r="M54" s="3">
        <f t="shared" si="3"/>
        <v>0</v>
      </c>
      <c r="N54" s="2">
        <f t="shared" si="8"/>
        <v>0</v>
      </c>
      <c r="O54" s="2">
        <f t="shared" si="4"/>
        <v>0</v>
      </c>
      <c r="R54" s="2">
        <f t="shared" si="1"/>
        <v>0</v>
      </c>
      <c r="T54" s="2">
        <f t="shared" si="10"/>
        <v>0</v>
      </c>
      <c r="U54" s="2"/>
      <c r="X54" s="2">
        <f t="shared" si="5"/>
        <v>0</v>
      </c>
    </row>
    <row r="55" spans="1:24" s="23" customFormat="1" x14ac:dyDescent="0.25">
      <c r="A55" s="139"/>
      <c r="B55" s="140"/>
      <c r="C55" s="6" t="s">
        <v>102</v>
      </c>
      <c r="D55" s="153"/>
      <c r="E55" s="145"/>
      <c r="F55" s="141"/>
      <c r="I55" s="8"/>
      <c r="L55" s="2">
        <f t="shared" si="9"/>
        <v>0</v>
      </c>
      <c r="M55" s="3">
        <f t="shared" si="3"/>
        <v>0</v>
      </c>
      <c r="N55" s="8">
        <f t="shared" si="8"/>
        <v>0</v>
      </c>
      <c r="O55" s="2">
        <f t="shared" si="4"/>
        <v>0</v>
      </c>
      <c r="P55" s="1"/>
      <c r="R55" s="2">
        <f t="shared" si="1"/>
        <v>0</v>
      </c>
      <c r="X55" s="8">
        <f t="shared" si="5"/>
        <v>0</v>
      </c>
    </row>
    <row r="56" spans="1:24" x14ac:dyDescent="0.25">
      <c r="A56" s="139" t="s">
        <v>85</v>
      </c>
      <c r="B56" s="140" t="s">
        <v>103</v>
      </c>
      <c r="C56" s="160" t="s">
        <v>104</v>
      </c>
      <c r="D56" s="153"/>
      <c r="E56" s="145"/>
      <c r="G56" s="1" t="s">
        <v>51</v>
      </c>
      <c r="H56" s="1" t="str">
        <f>+C56</f>
        <v>Gratificaciones por aniversario de institución</v>
      </c>
      <c r="I56" s="2">
        <f>+D56</f>
        <v>0</v>
      </c>
      <c r="L56" s="2">
        <f t="shared" si="9"/>
        <v>0</v>
      </c>
      <c r="M56" s="3">
        <f t="shared" si="3"/>
        <v>0</v>
      </c>
      <c r="N56" s="2">
        <f t="shared" si="8"/>
        <v>0</v>
      </c>
      <c r="O56" s="2">
        <f t="shared" si="4"/>
        <v>0</v>
      </c>
      <c r="R56" s="2">
        <f t="shared" si="1"/>
        <v>0</v>
      </c>
      <c r="T56" s="2">
        <f t="shared" si="10"/>
        <v>0</v>
      </c>
      <c r="U56" s="2"/>
      <c r="X56" s="2">
        <f t="shared" si="5"/>
        <v>0</v>
      </c>
    </row>
    <row r="57" spans="1:24" s="23" customFormat="1" x14ac:dyDescent="0.25">
      <c r="A57" s="139"/>
      <c r="B57" s="140"/>
      <c r="C57" s="6" t="s">
        <v>105</v>
      </c>
      <c r="D57" s="153"/>
      <c r="E57" s="145"/>
      <c r="F57" s="141"/>
      <c r="I57" s="8"/>
      <c r="L57" s="2">
        <f t="shared" si="9"/>
        <v>0</v>
      </c>
      <c r="M57" s="3">
        <f t="shared" si="3"/>
        <v>0</v>
      </c>
      <c r="N57" s="8">
        <f t="shared" si="8"/>
        <v>0</v>
      </c>
      <c r="O57" s="2">
        <f t="shared" si="4"/>
        <v>0</v>
      </c>
      <c r="P57" s="1"/>
      <c r="R57" s="2">
        <f t="shared" si="1"/>
        <v>0</v>
      </c>
      <c r="T57" s="2">
        <f t="shared" si="10"/>
        <v>0</v>
      </c>
      <c r="X57" s="8">
        <f t="shared" si="5"/>
        <v>0</v>
      </c>
    </row>
    <row r="58" spans="1:24" x14ac:dyDescent="0.25">
      <c r="A58" s="139" t="s">
        <v>85</v>
      </c>
      <c r="B58" s="140" t="s">
        <v>64</v>
      </c>
      <c r="C58" s="160" t="s">
        <v>106</v>
      </c>
      <c r="D58" s="162">
        <v>1255601.3700000001</v>
      </c>
      <c r="E58" s="145"/>
      <c r="G58" s="1" t="s">
        <v>51</v>
      </c>
      <c r="H58" s="1" t="str">
        <f t="shared" ref="H58:I60" si="12">+C58</f>
        <v>Contribuciones al seguro de salud</v>
      </c>
      <c r="I58" s="2">
        <f t="shared" si="12"/>
        <v>1255601.3700000001</v>
      </c>
      <c r="L58" s="2">
        <f t="shared" si="9"/>
        <v>0</v>
      </c>
      <c r="M58" s="3">
        <f t="shared" si="3"/>
        <v>1255601.3700000001</v>
      </c>
      <c r="N58" s="2">
        <f t="shared" si="8"/>
        <v>-1255601.3700000001</v>
      </c>
      <c r="O58" s="2">
        <f t="shared" si="4"/>
        <v>-1255601.3700000001</v>
      </c>
      <c r="R58" s="2">
        <f t="shared" si="1"/>
        <v>-1255601.3700000001</v>
      </c>
      <c r="T58" s="2"/>
      <c r="U58" s="2">
        <f>M58</f>
        <v>1255601.3700000001</v>
      </c>
      <c r="X58" s="2">
        <f t="shared" si="5"/>
        <v>2511202.7400000002</v>
      </c>
    </row>
    <row r="59" spans="1:24" x14ac:dyDescent="0.25">
      <c r="A59" s="139" t="s">
        <v>85</v>
      </c>
      <c r="C59" s="160" t="s">
        <v>107</v>
      </c>
      <c r="D59" s="153"/>
      <c r="E59" s="145"/>
      <c r="G59" s="1" t="s">
        <v>51</v>
      </c>
      <c r="H59" s="1" t="str">
        <f t="shared" si="12"/>
        <v xml:space="preserve">Contribuciones al seguro de pensiones </v>
      </c>
      <c r="I59" s="2">
        <f t="shared" si="12"/>
        <v>0</v>
      </c>
      <c r="L59" s="2">
        <f t="shared" si="9"/>
        <v>0</v>
      </c>
      <c r="M59" s="3">
        <f t="shared" si="3"/>
        <v>0</v>
      </c>
      <c r="N59" s="2">
        <f t="shared" si="8"/>
        <v>0</v>
      </c>
      <c r="O59" s="2">
        <f t="shared" si="4"/>
        <v>0</v>
      </c>
      <c r="R59" s="2">
        <f t="shared" si="1"/>
        <v>0</v>
      </c>
      <c r="T59" s="2">
        <f t="shared" si="10"/>
        <v>0</v>
      </c>
      <c r="U59" s="2">
        <f>+N59</f>
        <v>0</v>
      </c>
      <c r="X59" s="2">
        <f t="shared" si="5"/>
        <v>0</v>
      </c>
    </row>
    <row r="60" spans="1:24" x14ac:dyDescent="0.25">
      <c r="A60" s="139" t="s">
        <v>85</v>
      </c>
      <c r="C60" s="160" t="s">
        <v>108</v>
      </c>
      <c r="D60" s="153"/>
      <c r="E60" s="145"/>
      <c r="G60" s="1" t="s">
        <v>51</v>
      </c>
      <c r="H60" s="1" t="str">
        <f t="shared" si="12"/>
        <v>Contribuciones al seguro de riesgo laboral</v>
      </c>
      <c r="I60" s="2">
        <f t="shared" si="12"/>
        <v>0</v>
      </c>
      <c r="L60" s="2">
        <f t="shared" si="9"/>
        <v>0</v>
      </c>
      <c r="M60" s="3">
        <f t="shared" si="3"/>
        <v>0</v>
      </c>
      <c r="N60" s="2">
        <f t="shared" si="8"/>
        <v>0</v>
      </c>
      <c r="O60" s="2">
        <f t="shared" si="4"/>
        <v>0</v>
      </c>
      <c r="R60" s="2">
        <f>SUM(M60:Q60)</f>
        <v>0</v>
      </c>
      <c r="T60" s="2">
        <f t="shared" si="10"/>
        <v>0</v>
      </c>
      <c r="U60" s="2">
        <f>+N60</f>
        <v>0</v>
      </c>
      <c r="X60" s="2">
        <f t="shared" si="5"/>
        <v>0</v>
      </c>
    </row>
    <row r="61" spans="1:24" s="23" customFormat="1" x14ac:dyDescent="0.25">
      <c r="A61" s="139"/>
      <c r="B61" s="140"/>
      <c r="C61" s="6" t="s">
        <v>109</v>
      </c>
      <c r="D61" s="153"/>
      <c r="E61" s="145"/>
      <c r="F61" s="141"/>
      <c r="I61" s="8"/>
      <c r="L61" s="2">
        <f t="shared" si="9"/>
        <v>0</v>
      </c>
      <c r="M61" s="3">
        <f t="shared" si="3"/>
        <v>0</v>
      </c>
      <c r="N61" s="8">
        <f t="shared" si="8"/>
        <v>0</v>
      </c>
      <c r="O61" s="2">
        <f t="shared" si="4"/>
        <v>0</v>
      </c>
      <c r="P61" s="1"/>
      <c r="R61" s="2">
        <f t="shared" si="1"/>
        <v>0</v>
      </c>
      <c r="T61" s="2">
        <f t="shared" si="10"/>
        <v>0</v>
      </c>
      <c r="X61" s="8">
        <f t="shared" ref="X61:X124" si="13">SUM(S61:W61)-N61</f>
        <v>0</v>
      </c>
    </row>
    <row r="62" spans="1:24" s="23" customFormat="1" x14ac:dyDescent="0.25">
      <c r="A62" s="139"/>
      <c r="B62" s="140"/>
      <c r="C62" s="6" t="s">
        <v>110</v>
      </c>
      <c r="D62" s="153"/>
      <c r="E62" s="145"/>
      <c r="F62" s="141"/>
      <c r="I62" s="8"/>
      <c r="L62" s="2">
        <f t="shared" si="9"/>
        <v>0</v>
      </c>
      <c r="M62" s="3">
        <f t="shared" si="3"/>
        <v>0</v>
      </c>
      <c r="N62" s="8">
        <f t="shared" si="8"/>
        <v>0</v>
      </c>
      <c r="O62" s="2">
        <f t="shared" si="4"/>
        <v>0</v>
      </c>
      <c r="P62" s="1"/>
      <c r="R62" s="2">
        <f t="shared" si="1"/>
        <v>0</v>
      </c>
      <c r="X62" s="8">
        <f t="shared" si="13"/>
        <v>0</v>
      </c>
    </row>
    <row r="63" spans="1:24" x14ac:dyDescent="0.25">
      <c r="A63" s="139" t="s">
        <v>111</v>
      </c>
      <c r="C63" s="160" t="s">
        <v>112</v>
      </c>
      <c r="D63" s="153"/>
      <c r="E63" s="145"/>
      <c r="G63" s="1" t="s">
        <v>51</v>
      </c>
      <c r="H63" s="1" t="str">
        <f t="shared" ref="H63:I67" si="14">+C63</f>
        <v>Servicios telefónico de larga distancia</v>
      </c>
      <c r="I63" s="2">
        <f t="shared" si="14"/>
        <v>0</v>
      </c>
      <c r="L63" s="2">
        <f t="shared" si="9"/>
        <v>0</v>
      </c>
      <c r="M63" s="3">
        <f t="shared" si="3"/>
        <v>0</v>
      </c>
      <c r="N63" s="2">
        <f t="shared" si="8"/>
        <v>0</v>
      </c>
      <c r="O63" s="2">
        <f t="shared" si="4"/>
        <v>0</v>
      </c>
      <c r="R63" s="2">
        <f t="shared" si="1"/>
        <v>0</v>
      </c>
      <c r="V63" s="2">
        <f>+N63</f>
        <v>0</v>
      </c>
      <c r="X63" s="2">
        <f t="shared" si="13"/>
        <v>0</v>
      </c>
    </row>
    <row r="64" spans="1:24" x14ac:dyDescent="0.25">
      <c r="A64" s="139" t="s">
        <v>111</v>
      </c>
      <c r="C64" s="160" t="s">
        <v>113</v>
      </c>
      <c r="D64" s="153"/>
      <c r="E64" s="145"/>
      <c r="G64" s="1" t="s">
        <v>51</v>
      </c>
      <c r="H64" s="1" t="str">
        <f t="shared" si="14"/>
        <v>Teléfono local</v>
      </c>
      <c r="I64" s="2">
        <f t="shared" si="14"/>
        <v>0</v>
      </c>
      <c r="L64" s="2">
        <f t="shared" si="9"/>
        <v>0</v>
      </c>
      <c r="M64" s="3">
        <f t="shared" si="3"/>
        <v>0</v>
      </c>
      <c r="N64" s="2">
        <f t="shared" si="8"/>
        <v>0</v>
      </c>
      <c r="O64" s="2">
        <f t="shared" si="4"/>
        <v>0</v>
      </c>
      <c r="R64" s="2">
        <f t="shared" si="1"/>
        <v>0</v>
      </c>
      <c r="V64" s="2">
        <f>+N64</f>
        <v>0</v>
      </c>
      <c r="X64" s="2">
        <f t="shared" si="13"/>
        <v>0</v>
      </c>
    </row>
    <row r="65" spans="1:24" x14ac:dyDescent="0.25">
      <c r="A65" s="139" t="s">
        <v>111</v>
      </c>
      <c r="C65" s="160" t="s">
        <v>114</v>
      </c>
      <c r="D65" s="153"/>
      <c r="E65" s="145"/>
      <c r="G65" s="1" t="s">
        <v>51</v>
      </c>
      <c r="H65" s="1" t="str">
        <f t="shared" si="14"/>
        <v>Telefax y correo</v>
      </c>
      <c r="I65" s="2">
        <f t="shared" si="14"/>
        <v>0</v>
      </c>
      <c r="L65" s="2">
        <f t="shared" si="9"/>
        <v>0</v>
      </c>
      <c r="M65" s="3">
        <f t="shared" si="3"/>
        <v>0</v>
      </c>
      <c r="N65" s="2">
        <f t="shared" si="8"/>
        <v>0</v>
      </c>
      <c r="O65" s="2">
        <f t="shared" si="4"/>
        <v>0</v>
      </c>
      <c r="R65" s="2">
        <f t="shared" si="1"/>
        <v>0</v>
      </c>
      <c r="V65" s="2">
        <f>+N65</f>
        <v>0</v>
      </c>
      <c r="X65" s="2">
        <f t="shared" si="13"/>
        <v>0</v>
      </c>
    </row>
    <row r="66" spans="1:24" x14ac:dyDescent="0.25">
      <c r="A66" s="139" t="s">
        <v>111</v>
      </c>
      <c r="C66" s="160" t="s">
        <v>115</v>
      </c>
      <c r="D66" s="153"/>
      <c r="E66" s="145"/>
      <c r="G66" s="1" t="s">
        <v>51</v>
      </c>
      <c r="H66" s="1" t="str">
        <f t="shared" si="14"/>
        <v>Servicio de internet y televisión por cable</v>
      </c>
      <c r="I66" s="2">
        <f t="shared" si="14"/>
        <v>0</v>
      </c>
      <c r="L66" s="2">
        <f t="shared" si="9"/>
        <v>0</v>
      </c>
      <c r="M66" s="3">
        <f t="shared" si="3"/>
        <v>0</v>
      </c>
      <c r="N66" s="2">
        <f t="shared" si="8"/>
        <v>0</v>
      </c>
      <c r="O66" s="2">
        <f t="shared" si="4"/>
        <v>0</v>
      </c>
      <c r="R66" s="2">
        <f t="shared" si="1"/>
        <v>0</v>
      </c>
      <c r="V66" s="2">
        <f>+N66</f>
        <v>0</v>
      </c>
      <c r="X66" s="2">
        <f t="shared" si="13"/>
        <v>0</v>
      </c>
    </row>
    <row r="67" spans="1:24" x14ac:dyDescent="0.25">
      <c r="A67" s="139" t="s">
        <v>111</v>
      </c>
      <c r="C67" s="160" t="s">
        <v>116</v>
      </c>
      <c r="D67" s="153"/>
      <c r="E67" s="145"/>
      <c r="G67" s="1" t="s">
        <v>51</v>
      </c>
      <c r="H67" s="1" t="str">
        <f t="shared" si="14"/>
        <v>Energía eléctrica</v>
      </c>
      <c r="I67" s="2">
        <f t="shared" si="14"/>
        <v>0</v>
      </c>
      <c r="L67" s="2">
        <f t="shared" si="9"/>
        <v>0</v>
      </c>
      <c r="M67" s="3">
        <f t="shared" si="3"/>
        <v>0</v>
      </c>
      <c r="N67" s="2">
        <f t="shared" si="8"/>
        <v>0</v>
      </c>
      <c r="O67" s="2">
        <f t="shared" si="4"/>
        <v>0</v>
      </c>
      <c r="R67" s="2">
        <f t="shared" si="1"/>
        <v>0</v>
      </c>
      <c r="V67" s="2">
        <f>+N67</f>
        <v>0</v>
      </c>
      <c r="X67" s="2">
        <f t="shared" si="13"/>
        <v>0</v>
      </c>
    </row>
    <row r="68" spans="1:24" s="23" customFormat="1" x14ac:dyDescent="0.25">
      <c r="A68" s="139"/>
      <c r="B68" s="140"/>
      <c r="C68" s="6" t="s">
        <v>117</v>
      </c>
      <c r="D68" s="153"/>
      <c r="E68" s="145"/>
      <c r="F68" s="141"/>
      <c r="I68" s="8"/>
      <c r="L68" s="2">
        <f t="shared" si="9"/>
        <v>0</v>
      </c>
      <c r="M68" s="3">
        <f t="shared" si="3"/>
        <v>0</v>
      </c>
      <c r="N68" s="8">
        <f t="shared" si="8"/>
        <v>0</v>
      </c>
      <c r="O68" s="2">
        <f t="shared" si="4"/>
        <v>0</v>
      </c>
      <c r="P68" s="1"/>
      <c r="R68" s="2">
        <f>SUM(M68:Q68)</f>
        <v>0</v>
      </c>
      <c r="X68" s="8">
        <f t="shared" si="13"/>
        <v>0</v>
      </c>
    </row>
    <row r="69" spans="1:24" x14ac:dyDescent="0.25">
      <c r="A69" s="139" t="s">
        <v>111</v>
      </c>
      <c r="C69" s="160" t="s">
        <v>118</v>
      </c>
      <c r="D69" s="153"/>
      <c r="E69" s="145"/>
      <c r="G69" s="1" t="s">
        <v>51</v>
      </c>
      <c r="H69" s="1" t="str">
        <f>+C69</f>
        <v>Publicidad y propaganda</v>
      </c>
      <c r="I69" s="2">
        <f>+D69</f>
        <v>0</v>
      </c>
      <c r="L69" s="2">
        <f t="shared" si="9"/>
        <v>0</v>
      </c>
      <c r="M69" s="3">
        <f t="shared" si="3"/>
        <v>0</v>
      </c>
      <c r="N69" s="2">
        <f t="shared" si="8"/>
        <v>0</v>
      </c>
      <c r="O69" s="2">
        <f t="shared" si="4"/>
        <v>0</v>
      </c>
      <c r="R69" s="2">
        <f t="shared" si="1"/>
        <v>0</v>
      </c>
      <c r="V69" s="2">
        <f>+N69</f>
        <v>0</v>
      </c>
      <c r="X69" s="2">
        <f t="shared" si="13"/>
        <v>0</v>
      </c>
    </row>
    <row r="70" spans="1:24" x14ac:dyDescent="0.25">
      <c r="A70" s="139" t="s">
        <v>111</v>
      </c>
      <c r="C70" s="160" t="s">
        <v>119</v>
      </c>
      <c r="D70" s="153"/>
      <c r="E70" s="145"/>
      <c r="G70" s="1" t="s">
        <v>51</v>
      </c>
      <c r="H70" s="1" t="str">
        <f>+C70</f>
        <v>Impresión y encuadernación</v>
      </c>
      <c r="I70" s="2">
        <f>+D70</f>
        <v>0</v>
      </c>
      <c r="L70" s="2">
        <f t="shared" si="9"/>
        <v>0</v>
      </c>
      <c r="M70" s="3">
        <f t="shared" si="3"/>
        <v>0</v>
      </c>
      <c r="N70" s="2">
        <f t="shared" si="8"/>
        <v>0</v>
      </c>
      <c r="O70" s="2">
        <f t="shared" si="4"/>
        <v>0</v>
      </c>
      <c r="R70" s="2">
        <f t="shared" si="1"/>
        <v>0</v>
      </c>
      <c r="V70" s="2">
        <f>+N70</f>
        <v>0</v>
      </c>
      <c r="X70" s="2">
        <f t="shared" si="13"/>
        <v>0</v>
      </c>
    </row>
    <row r="71" spans="1:24" s="23" customFormat="1" x14ac:dyDescent="0.25">
      <c r="A71" s="139"/>
      <c r="B71" s="140"/>
      <c r="C71" s="6" t="s">
        <v>120</v>
      </c>
      <c r="D71" s="153"/>
      <c r="E71" s="145"/>
      <c r="F71" s="141"/>
      <c r="I71" s="8"/>
      <c r="L71" s="2">
        <f t="shared" si="9"/>
        <v>0</v>
      </c>
      <c r="M71" s="3">
        <f t="shared" si="3"/>
        <v>0</v>
      </c>
      <c r="N71" s="8">
        <f t="shared" si="8"/>
        <v>0</v>
      </c>
      <c r="O71" s="2">
        <f t="shared" si="4"/>
        <v>0</v>
      </c>
      <c r="P71" s="1"/>
      <c r="R71" s="2">
        <f t="shared" si="1"/>
        <v>0</v>
      </c>
      <c r="X71" s="8">
        <f t="shared" si="13"/>
        <v>0</v>
      </c>
    </row>
    <row r="72" spans="1:24" x14ac:dyDescent="0.25">
      <c r="A72" s="139" t="s">
        <v>111</v>
      </c>
      <c r="C72" s="160" t="s">
        <v>121</v>
      </c>
      <c r="D72" s="153"/>
      <c r="E72" s="145"/>
      <c r="G72" s="1" t="s">
        <v>51</v>
      </c>
      <c r="H72" s="1" t="str">
        <f>+C72</f>
        <v>Viáticos dentro del país</v>
      </c>
      <c r="I72" s="2">
        <f>+D72</f>
        <v>0</v>
      </c>
      <c r="L72" s="2">
        <f t="shared" si="9"/>
        <v>0</v>
      </c>
      <c r="M72" s="3">
        <f t="shared" si="3"/>
        <v>0</v>
      </c>
      <c r="N72" s="2">
        <f t="shared" si="8"/>
        <v>0</v>
      </c>
      <c r="O72" s="2">
        <f t="shared" si="4"/>
        <v>0</v>
      </c>
      <c r="R72" s="2">
        <f t="shared" si="1"/>
        <v>0</v>
      </c>
      <c r="V72" s="2">
        <f>+N72</f>
        <v>0</v>
      </c>
      <c r="X72" s="2">
        <f t="shared" si="13"/>
        <v>0</v>
      </c>
    </row>
    <row r="73" spans="1:24" x14ac:dyDescent="0.25">
      <c r="A73" s="139" t="s">
        <v>111</v>
      </c>
      <c r="C73" s="160" t="s">
        <v>122</v>
      </c>
      <c r="D73" s="153"/>
      <c r="E73" s="145"/>
      <c r="G73" s="1" t="s">
        <v>51</v>
      </c>
      <c r="H73" s="1" t="str">
        <f>+C73</f>
        <v>Viáticos fuera del país</v>
      </c>
      <c r="I73" s="2">
        <f>+D73</f>
        <v>0</v>
      </c>
      <c r="L73" s="2">
        <f t="shared" si="9"/>
        <v>0</v>
      </c>
      <c r="M73" s="3">
        <f t="shared" si="3"/>
        <v>0</v>
      </c>
      <c r="N73" s="2">
        <f t="shared" si="8"/>
        <v>0</v>
      </c>
      <c r="O73" s="2">
        <f t="shared" si="4"/>
        <v>0</v>
      </c>
      <c r="R73" s="2">
        <f t="shared" si="1"/>
        <v>0</v>
      </c>
      <c r="V73" s="2">
        <f>+N73</f>
        <v>0</v>
      </c>
      <c r="X73" s="2">
        <f t="shared" si="13"/>
        <v>0</v>
      </c>
    </row>
    <row r="74" spans="1:24" s="23" customFormat="1" x14ac:dyDescent="0.25">
      <c r="A74" s="139"/>
      <c r="B74" s="140"/>
      <c r="C74" s="6" t="s">
        <v>123</v>
      </c>
      <c r="D74" s="153"/>
      <c r="E74" s="145"/>
      <c r="F74" s="141"/>
      <c r="I74" s="8"/>
      <c r="L74" s="2">
        <f t="shared" si="9"/>
        <v>0</v>
      </c>
      <c r="M74" s="3">
        <f t="shared" si="3"/>
        <v>0</v>
      </c>
      <c r="N74" s="8">
        <f t="shared" si="8"/>
        <v>0</v>
      </c>
      <c r="O74" s="2">
        <f t="shared" si="4"/>
        <v>0</v>
      </c>
      <c r="P74" s="1"/>
      <c r="R74" s="2">
        <f t="shared" si="1"/>
        <v>0</v>
      </c>
      <c r="X74" s="8">
        <f t="shared" si="13"/>
        <v>0</v>
      </c>
    </row>
    <row r="75" spans="1:24" x14ac:dyDescent="0.25">
      <c r="A75" s="139" t="s">
        <v>111</v>
      </c>
      <c r="C75" s="141" t="s">
        <v>124</v>
      </c>
      <c r="D75" s="153"/>
      <c r="E75" s="145"/>
      <c r="G75" s="1" t="s">
        <v>51</v>
      </c>
      <c r="H75" s="1" t="str">
        <f>+C75</f>
        <v>Pasajes</v>
      </c>
      <c r="I75" s="2">
        <f>+D75</f>
        <v>0</v>
      </c>
      <c r="L75" s="2">
        <f t="shared" si="9"/>
        <v>0</v>
      </c>
      <c r="M75" s="3">
        <f t="shared" si="3"/>
        <v>0</v>
      </c>
      <c r="N75" s="2">
        <f t="shared" si="8"/>
        <v>0</v>
      </c>
      <c r="O75" s="2">
        <f t="shared" si="4"/>
        <v>0</v>
      </c>
      <c r="R75" s="2">
        <f t="shared" si="1"/>
        <v>0</v>
      </c>
      <c r="V75" s="2">
        <f>+N75</f>
        <v>0</v>
      </c>
      <c r="X75" s="2">
        <f t="shared" si="13"/>
        <v>0</v>
      </c>
    </row>
    <row r="76" spans="1:24" x14ac:dyDescent="0.25">
      <c r="A76" s="139" t="s">
        <v>111</v>
      </c>
      <c r="C76" s="141" t="s">
        <v>125</v>
      </c>
      <c r="D76" s="153"/>
      <c r="E76" s="145"/>
      <c r="G76" s="1" t="s">
        <v>51</v>
      </c>
      <c r="H76" s="1" t="str">
        <f>+C76</f>
        <v>Peajes</v>
      </c>
      <c r="I76" s="2">
        <f>+D76</f>
        <v>0</v>
      </c>
      <c r="L76" s="2">
        <f t="shared" si="9"/>
        <v>0</v>
      </c>
      <c r="M76" s="3">
        <f t="shared" si="3"/>
        <v>0</v>
      </c>
      <c r="N76" s="2">
        <f t="shared" si="8"/>
        <v>0</v>
      </c>
      <c r="O76" s="2">
        <f t="shared" si="4"/>
        <v>0</v>
      </c>
      <c r="R76" s="2">
        <f t="shared" ref="R76:R82" si="15">SUM(M76:Q76)</f>
        <v>0</v>
      </c>
      <c r="V76" s="2">
        <f>+N76</f>
        <v>0</v>
      </c>
      <c r="X76" s="2">
        <f t="shared" si="13"/>
        <v>0</v>
      </c>
    </row>
    <row r="77" spans="1:24" s="23" customFormat="1" x14ac:dyDescent="0.25">
      <c r="A77" s="139"/>
      <c r="B77" s="140"/>
      <c r="C77" s="6" t="s">
        <v>126</v>
      </c>
      <c r="D77" s="153"/>
      <c r="E77" s="145"/>
      <c r="F77" s="141"/>
      <c r="I77" s="8"/>
      <c r="L77" s="2">
        <f t="shared" si="9"/>
        <v>0</v>
      </c>
      <c r="M77" s="3">
        <f t="shared" si="3"/>
        <v>0</v>
      </c>
      <c r="N77" s="8">
        <f t="shared" si="8"/>
        <v>0</v>
      </c>
      <c r="O77" s="2">
        <f t="shared" si="4"/>
        <v>0</v>
      </c>
      <c r="P77" s="1"/>
      <c r="R77" s="2">
        <f t="shared" si="15"/>
        <v>0</v>
      </c>
      <c r="X77" s="8">
        <f t="shared" si="13"/>
        <v>0</v>
      </c>
    </row>
    <row r="78" spans="1:24" x14ac:dyDescent="0.25">
      <c r="A78" s="139" t="s">
        <v>111</v>
      </c>
      <c r="C78" s="160" t="s">
        <v>127</v>
      </c>
      <c r="D78" s="153"/>
      <c r="E78" s="145"/>
      <c r="G78" s="1" t="s">
        <v>51</v>
      </c>
      <c r="H78" s="1" t="str">
        <f t="shared" ref="H78:I80" si="16">+C78</f>
        <v>Edificios y locales</v>
      </c>
      <c r="I78" s="2">
        <f t="shared" si="16"/>
        <v>0</v>
      </c>
      <c r="L78" s="2">
        <f t="shared" si="9"/>
        <v>0</v>
      </c>
      <c r="M78" s="3">
        <f t="shared" si="3"/>
        <v>0</v>
      </c>
      <c r="N78" s="2">
        <f t="shared" si="8"/>
        <v>0</v>
      </c>
      <c r="O78" s="2">
        <f t="shared" si="4"/>
        <v>0</v>
      </c>
      <c r="R78" s="2">
        <f t="shared" si="15"/>
        <v>0</v>
      </c>
      <c r="V78" s="2">
        <f>+N78</f>
        <v>0</v>
      </c>
      <c r="X78" s="2">
        <f t="shared" si="13"/>
        <v>0</v>
      </c>
    </row>
    <row r="79" spans="1:24" x14ac:dyDescent="0.25">
      <c r="A79" s="139" t="s">
        <v>111</v>
      </c>
      <c r="B79" s="163" t="s">
        <v>128</v>
      </c>
      <c r="C79" s="141" t="s">
        <v>129</v>
      </c>
      <c r="D79" s="153"/>
      <c r="E79" s="145"/>
      <c r="G79" s="1" t="s">
        <v>51</v>
      </c>
      <c r="H79" s="1" t="str">
        <f t="shared" si="16"/>
        <v>Alquiler de vehículo</v>
      </c>
      <c r="I79" s="2">
        <f t="shared" si="16"/>
        <v>0</v>
      </c>
      <c r="L79" s="2">
        <f t="shared" si="9"/>
        <v>0</v>
      </c>
      <c r="M79" s="3">
        <f t="shared" si="3"/>
        <v>0</v>
      </c>
      <c r="N79" s="2">
        <f t="shared" si="8"/>
        <v>0</v>
      </c>
      <c r="O79" s="2">
        <f t="shared" si="4"/>
        <v>0</v>
      </c>
      <c r="R79" s="2">
        <f t="shared" si="15"/>
        <v>0</v>
      </c>
      <c r="V79" s="2">
        <f>+N79</f>
        <v>0</v>
      </c>
      <c r="X79" s="2">
        <f t="shared" si="13"/>
        <v>0</v>
      </c>
    </row>
    <row r="80" spans="1:24" x14ac:dyDescent="0.25">
      <c r="A80" s="139" t="s">
        <v>111</v>
      </c>
      <c r="C80" s="160" t="s">
        <v>130</v>
      </c>
      <c r="D80" s="153"/>
      <c r="E80" s="145"/>
      <c r="G80" s="1" t="s">
        <v>51</v>
      </c>
      <c r="H80" s="1" t="str">
        <f t="shared" si="16"/>
        <v>Otros alquileres</v>
      </c>
      <c r="I80" s="2">
        <f t="shared" si="16"/>
        <v>0</v>
      </c>
      <c r="L80" s="2">
        <f t="shared" si="9"/>
        <v>0</v>
      </c>
      <c r="M80" s="3">
        <f t="shared" si="3"/>
        <v>0</v>
      </c>
      <c r="N80" s="2">
        <f t="shared" si="8"/>
        <v>0</v>
      </c>
      <c r="O80" s="2">
        <f t="shared" si="4"/>
        <v>0</v>
      </c>
      <c r="R80" s="2">
        <f t="shared" si="15"/>
        <v>0</v>
      </c>
      <c r="V80" s="2">
        <f>+N80</f>
        <v>0</v>
      </c>
      <c r="X80" s="2">
        <f t="shared" si="13"/>
        <v>0</v>
      </c>
    </row>
    <row r="81" spans="1:24" s="23" customFormat="1" x14ac:dyDescent="0.25">
      <c r="A81" s="139"/>
      <c r="B81" s="140"/>
      <c r="C81" s="6" t="s">
        <v>131</v>
      </c>
      <c r="D81" s="153"/>
      <c r="E81" s="145"/>
      <c r="F81" s="141"/>
      <c r="I81" s="8"/>
      <c r="L81" s="2">
        <f t="shared" si="9"/>
        <v>0</v>
      </c>
      <c r="M81" s="3">
        <f t="shared" si="3"/>
        <v>0</v>
      </c>
      <c r="N81" s="8">
        <f t="shared" si="8"/>
        <v>0</v>
      </c>
      <c r="O81" s="2">
        <f t="shared" si="4"/>
        <v>0</v>
      </c>
      <c r="P81" s="1"/>
      <c r="R81" s="2">
        <f t="shared" si="15"/>
        <v>0</v>
      </c>
      <c r="X81" s="8">
        <f t="shared" si="13"/>
        <v>0</v>
      </c>
    </row>
    <row r="82" spans="1:24" x14ac:dyDescent="0.25">
      <c r="A82" s="139" t="s">
        <v>111</v>
      </c>
      <c r="C82" s="160" t="s">
        <v>132</v>
      </c>
      <c r="D82" s="153"/>
      <c r="E82" s="145"/>
      <c r="G82" s="1" t="s">
        <v>51</v>
      </c>
      <c r="H82" s="1" t="str">
        <f>+C82</f>
        <v>Seguro de bienes muebles</v>
      </c>
      <c r="I82" s="2">
        <f>+D82</f>
        <v>0</v>
      </c>
      <c r="L82" s="2">
        <f t="shared" si="9"/>
        <v>0</v>
      </c>
      <c r="M82" s="3">
        <f t="shared" ref="M82:M145" si="17">+I82+J82-K82-L82</f>
        <v>0</v>
      </c>
      <c r="N82" s="2">
        <f t="shared" si="8"/>
        <v>0</v>
      </c>
      <c r="O82" s="2">
        <f t="shared" si="4"/>
        <v>0</v>
      </c>
      <c r="R82" s="2">
        <f t="shared" si="15"/>
        <v>0</v>
      </c>
      <c r="V82" s="2">
        <f>+N82</f>
        <v>0</v>
      </c>
      <c r="X82" s="2">
        <f t="shared" si="13"/>
        <v>0</v>
      </c>
    </row>
    <row r="83" spans="1:24" x14ac:dyDescent="0.25">
      <c r="A83" s="139" t="s">
        <v>111</v>
      </c>
      <c r="B83" s="163" t="s">
        <v>133</v>
      </c>
      <c r="C83" s="141" t="s">
        <v>134</v>
      </c>
      <c r="D83" s="153"/>
      <c r="E83" s="145"/>
      <c r="G83" s="1" t="s">
        <v>51</v>
      </c>
      <c r="H83" s="1" t="str">
        <f>+C83</f>
        <v>Seguro de personas</v>
      </c>
      <c r="I83" s="2">
        <f>+D83</f>
        <v>0</v>
      </c>
      <c r="L83" s="2">
        <f t="shared" si="9"/>
        <v>0</v>
      </c>
      <c r="M83" s="3">
        <f t="shared" si="17"/>
        <v>0</v>
      </c>
      <c r="N83" s="2">
        <f t="shared" si="8"/>
        <v>0</v>
      </c>
      <c r="O83" s="2">
        <f t="shared" si="4"/>
        <v>0</v>
      </c>
      <c r="R83" s="2">
        <f t="shared" ref="R83:R126" si="18">SUM(M83:Q83)</f>
        <v>0</v>
      </c>
      <c r="T83" s="2"/>
      <c r="U83" s="2"/>
      <c r="V83" s="2">
        <f>+N83</f>
        <v>0</v>
      </c>
      <c r="X83" s="2">
        <f t="shared" si="13"/>
        <v>0</v>
      </c>
    </row>
    <row r="84" spans="1:24" s="23" customFormat="1" x14ac:dyDescent="0.25">
      <c r="A84" s="139"/>
      <c r="B84" s="140"/>
      <c r="C84" s="6" t="s">
        <v>135</v>
      </c>
      <c r="D84" s="153"/>
      <c r="E84" s="145"/>
      <c r="F84" s="141"/>
      <c r="I84" s="8"/>
      <c r="L84" s="2">
        <f t="shared" si="9"/>
        <v>0</v>
      </c>
      <c r="M84" s="3">
        <f t="shared" si="17"/>
        <v>0</v>
      </c>
      <c r="N84" s="8">
        <f t="shared" si="8"/>
        <v>0</v>
      </c>
      <c r="O84" s="2">
        <f t="shared" si="4"/>
        <v>0</v>
      </c>
      <c r="P84" s="1"/>
      <c r="R84" s="8">
        <f t="shared" si="18"/>
        <v>0</v>
      </c>
      <c r="X84" s="8">
        <f t="shared" si="13"/>
        <v>0</v>
      </c>
    </row>
    <row r="85" spans="1:24" x14ac:dyDescent="0.25">
      <c r="A85" s="139" t="s">
        <v>111</v>
      </c>
      <c r="C85" s="160" t="s">
        <v>136</v>
      </c>
      <c r="D85" s="153">
        <v>2926610.15</v>
      </c>
      <c r="E85" s="145"/>
      <c r="G85" s="1" t="s">
        <v>51</v>
      </c>
      <c r="H85" s="1" t="str">
        <f t="shared" ref="H85:I90" si="19">+C85</f>
        <v>Servicios especiales de mantenimiento y reparación</v>
      </c>
      <c r="I85" s="2">
        <f t="shared" si="19"/>
        <v>2926610.15</v>
      </c>
      <c r="L85" s="2">
        <f t="shared" si="9"/>
        <v>0</v>
      </c>
      <c r="M85" s="3">
        <f t="shared" si="17"/>
        <v>2926610.15</v>
      </c>
      <c r="N85" s="2">
        <f t="shared" si="8"/>
        <v>-2926610.15</v>
      </c>
      <c r="O85" s="2">
        <f t="shared" si="4"/>
        <v>-2926610.15</v>
      </c>
      <c r="R85" s="2">
        <f t="shared" si="18"/>
        <v>-2926610.15</v>
      </c>
      <c r="V85" s="2">
        <f>M85</f>
        <v>2926610.15</v>
      </c>
      <c r="X85" s="2">
        <f t="shared" si="13"/>
        <v>5853220.2999999998</v>
      </c>
    </row>
    <row r="86" spans="1:24" x14ac:dyDescent="0.25">
      <c r="A86" s="139" t="s">
        <v>111</v>
      </c>
      <c r="B86" s="161" t="s">
        <v>137</v>
      </c>
      <c r="C86" s="141" t="s">
        <v>138</v>
      </c>
      <c r="D86" s="153"/>
      <c r="E86" s="145"/>
      <c r="H86" s="1" t="str">
        <f t="shared" si="19"/>
        <v>Servicios de pintura y derivados con fin de higiene y embellecimiento</v>
      </c>
      <c r="I86" s="2">
        <f t="shared" si="19"/>
        <v>0</v>
      </c>
      <c r="L86" s="2">
        <f t="shared" si="9"/>
        <v>0</v>
      </c>
      <c r="M86" s="3">
        <f t="shared" si="17"/>
        <v>0</v>
      </c>
      <c r="N86" s="2">
        <f t="shared" si="8"/>
        <v>0</v>
      </c>
      <c r="O86" s="2">
        <f t="shared" si="4"/>
        <v>0</v>
      </c>
      <c r="R86" s="2">
        <f t="shared" si="18"/>
        <v>0</v>
      </c>
      <c r="V86" s="2">
        <f>+N86</f>
        <v>0</v>
      </c>
      <c r="X86" s="2">
        <f t="shared" si="13"/>
        <v>0</v>
      </c>
    </row>
    <row r="87" spans="1:24" x14ac:dyDescent="0.25">
      <c r="A87" s="139" t="s">
        <v>111</v>
      </c>
      <c r="B87" s="164"/>
      <c r="C87" s="141" t="s">
        <v>139</v>
      </c>
      <c r="D87" s="153"/>
      <c r="E87" s="145"/>
      <c r="G87" s="1" t="s">
        <v>51</v>
      </c>
      <c r="H87" s="1" t="str">
        <f t="shared" si="19"/>
        <v>Reparaciones de obras menores</v>
      </c>
      <c r="I87" s="2">
        <f t="shared" si="19"/>
        <v>0</v>
      </c>
      <c r="L87" s="2">
        <f t="shared" si="9"/>
        <v>0</v>
      </c>
      <c r="M87" s="3">
        <f t="shared" si="17"/>
        <v>0</v>
      </c>
      <c r="N87" s="2">
        <f>-M87</f>
        <v>0</v>
      </c>
      <c r="O87" s="2">
        <f t="shared" si="4"/>
        <v>0</v>
      </c>
      <c r="R87" s="2">
        <f>SUM(M87:Q87)</f>
        <v>0</v>
      </c>
      <c r="V87" s="2">
        <f>+N87</f>
        <v>0</v>
      </c>
      <c r="X87" s="2">
        <f t="shared" si="13"/>
        <v>0</v>
      </c>
    </row>
    <row r="88" spans="1:24" x14ac:dyDescent="0.25">
      <c r="A88" s="139" t="s">
        <v>111</v>
      </c>
      <c r="C88" s="160" t="s">
        <v>140</v>
      </c>
      <c r="D88" s="153"/>
      <c r="E88" s="145"/>
      <c r="G88" s="1" t="s">
        <v>51</v>
      </c>
      <c r="H88" s="1" t="str">
        <f t="shared" si="19"/>
        <v>Mant. y rep. De equipo de oficina y muebles</v>
      </c>
      <c r="I88" s="2">
        <f t="shared" si="19"/>
        <v>0</v>
      </c>
      <c r="L88" s="2">
        <f t="shared" si="9"/>
        <v>0</v>
      </c>
      <c r="M88" s="3">
        <f t="shared" si="17"/>
        <v>0</v>
      </c>
      <c r="N88" s="2">
        <f t="shared" si="8"/>
        <v>0</v>
      </c>
      <c r="O88" s="2">
        <f t="shared" si="4"/>
        <v>0</v>
      </c>
      <c r="R88" s="2">
        <f t="shared" si="18"/>
        <v>0</v>
      </c>
      <c r="V88" s="2">
        <f>+N88</f>
        <v>0</v>
      </c>
      <c r="X88" s="2">
        <f t="shared" si="13"/>
        <v>0</v>
      </c>
    </row>
    <row r="89" spans="1:24" x14ac:dyDescent="0.25">
      <c r="A89" s="139" t="s">
        <v>111</v>
      </c>
      <c r="B89" s="163" t="s">
        <v>141</v>
      </c>
      <c r="C89" s="141" t="s">
        <v>142</v>
      </c>
      <c r="D89" s="153"/>
      <c r="E89" s="145"/>
      <c r="G89" s="1" t="s">
        <v>51</v>
      </c>
      <c r="H89" s="1" t="str">
        <f t="shared" si="19"/>
        <v>Mant. y rep. De equipo de comunicación</v>
      </c>
      <c r="I89" s="2">
        <f t="shared" si="19"/>
        <v>0</v>
      </c>
      <c r="L89" s="2">
        <f t="shared" si="9"/>
        <v>0</v>
      </c>
      <c r="M89" s="3">
        <f t="shared" si="17"/>
        <v>0</v>
      </c>
      <c r="N89" s="2">
        <f t="shared" si="8"/>
        <v>0</v>
      </c>
      <c r="O89" s="2">
        <f t="shared" ref="O89:O114" si="20">-M89</f>
        <v>0</v>
      </c>
      <c r="R89" s="2">
        <f t="shared" si="18"/>
        <v>0</v>
      </c>
      <c r="V89" s="2">
        <f>+N89</f>
        <v>0</v>
      </c>
      <c r="X89" s="2">
        <f t="shared" si="13"/>
        <v>0</v>
      </c>
    </row>
    <row r="90" spans="1:24" x14ac:dyDescent="0.25">
      <c r="A90" s="139" t="s">
        <v>111</v>
      </c>
      <c r="C90" s="160" t="s">
        <v>143</v>
      </c>
      <c r="D90" s="153"/>
      <c r="E90" s="145"/>
      <c r="G90" s="1" t="s">
        <v>51</v>
      </c>
      <c r="H90" s="1" t="str">
        <f t="shared" si="19"/>
        <v>Mant. y rep. De equipo de transporte, tracción y elevación</v>
      </c>
      <c r="I90" s="2">
        <f t="shared" si="19"/>
        <v>0</v>
      </c>
      <c r="L90" s="2">
        <f t="shared" si="9"/>
        <v>0</v>
      </c>
      <c r="M90" s="3">
        <f t="shared" si="17"/>
        <v>0</v>
      </c>
      <c r="N90" s="2">
        <f t="shared" si="8"/>
        <v>0</v>
      </c>
      <c r="O90" s="2">
        <f t="shared" si="20"/>
        <v>0</v>
      </c>
      <c r="R90" s="2">
        <f t="shared" si="18"/>
        <v>0</v>
      </c>
      <c r="V90" s="2">
        <f>+N90</f>
        <v>0</v>
      </c>
      <c r="X90" s="2">
        <f t="shared" si="13"/>
        <v>0</v>
      </c>
    </row>
    <row r="91" spans="1:24" s="23" customFormat="1" x14ac:dyDescent="0.25">
      <c r="A91" s="139"/>
      <c r="B91" s="140"/>
      <c r="C91" s="6" t="s">
        <v>144</v>
      </c>
      <c r="D91" s="153"/>
      <c r="E91" s="145"/>
      <c r="F91" s="141"/>
      <c r="I91" s="8"/>
      <c r="L91" s="2">
        <f t="shared" si="9"/>
        <v>0</v>
      </c>
      <c r="M91" s="3">
        <f t="shared" si="17"/>
        <v>0</v>
      </c>
      <c r="N91" s="8">
        <f t="shared" si="8"/>
        <v>0</v>
      </c>
      <c r="O91" s="2">
        <f t="shared" si="20"/>
        <v>0</v>
      </c>
      <c r="P91" s="1"/>
      <c r="R91" s="8">
        <f t="shared" si="18"/>
        <v>0</v>
      </c>
      <c r="X91" s="8">
        <f t="shared" si="13"/>
        <v>0</v>
      </c>
    </row>
    <row r="92" spans="1:24" x14ac:dyDescent="0.25">
      <c r="A92" s="139" t="s">
        <v>111</v>
      </c>
      <c r="C92" s="160" t="s">
        <v>145</v>
      </c>
      <c r="D92" s="153"/>
      <c r="E92" s="145"/>
      <c r="G92" s="1" t="s">
        <v>51</v>
      </c>
      <c r="H92" s="1" t="str">
        <f t="shared" ref="H92:H102" si="21">+C92</f>
        <v>Comisiones y gastos bancarios</v>
      </c>
      <c r="I92" s="2">
        <f t="shared" ref="I92:I102" si="22">+D92</f>
        <v>0</v>
      </c>
      <c r="L92" s="2">
        <f t="shared" si="9"/>
        <v>0</v>
      </c>
      <c r="M92" s="3">
        <f t="shared" si="17"/>
        <v>0</v>
      </c>
      <c r="N92" s="2">
        <f t="shared" si="8"/>
        <v>0</v>
      </c>
      <c r="O92" s="2">
        <f t="shared" si="20"/>
        <v>0</v>
      </c>
      <c r="R92" s="2">
        <f t="shared" si="18"/>
        <v>0</v>
      </c>
      <c r="V92" s="2">
        <f t="shared" ref="V92:V104" si="23">+N92</f>
        <v>0</v>
      </c>
      <c r="X92" s="2">
        <f t="shared" si="13"/>
        <v>0</v>
      </c>
    </row>
    <row r="93" spans="1:24" x14ac:dyDescent="0.25">
      <c r="A93" s="139" t="s">
        <v>111</v>
      </c>
      <c r="B93" s="163" t="s">
        <v>146</v>
      </c>
      <c r="C93" s="141" t="s">
        <v>147</v>
      </c>
      <c r="D93" s="153"/>
      <c r="E93" s="145"/>
      <c r="G93" s="1" t="s">
        <v>51</v>
      </c>
      <c r="H93" s="1" t="str">
        <f t="shared" si="21"/>
        <v xml:space="preserve">Servicios sanitarios médicos y veterinarios </v>
      </c>
      <c r="I93" s="2">
        <f t="shared" si="22"/>
        <v>0</v>
      </c>
      <c r="L93" s="2">
        <f t="shared" si="9"/>
        <v>0</v>
      </c>
      <c r="M93" s="3">
        <f t="shared" si="17"/>
        <v>0</v>
      </c>
      <c r="N93" s="2">
        <f t="shared" si="8"/>
        <v>0</v>
      </c>
      <c r="O93" s="2">
        <f t="shared" si="20"/>
        <v>0</v>
      </c>
      <c r="R93" s="2">
        <f t="shared" si="18"/>
        <v>0</v>
      </c>
      <c r="V93" s="2">
        <f t="shared" si="23"/>
        <v>0</v>
      </c>
      <c r="X93" s="2">
        <f t="shared" si="13"/>
        <v>0</v>
      </c>
    </row>
    <row r="94" spans="1:24" x14ac:dyDescent="0.25">
      <c r="A94" s="139" t="s">
        <v>111</v>
      </c>
      <c r="C94" s="160" t="s">
        <v>148</v>
      </c>
      <c r="D94" s="153"/>
      <c r="E94" s="145"/>
      <c r="H94" s="1" t="str">
        <f t="shared" si="21"/>
        <v>Fumigación</v>
      </c>
      <c r="I94" s="2">
        <f t="shared" si="22"/>
        <v>0</v>
      </c>
      <c r="L94" s="2">
        <f t="shared" si="9"/>
        <v>0</v>
      </c>
      <c r="M94" s="3">
        <f t="shared" si="17"/>
        <v>0</v>
      </c>
      <c r="N94" s="2">
        <f t="shared" si="8"/>
        <v>0</v>
      </c>
      <c r="O94" s="2">
        <f t="shared" si="20"/>
        <v>0</v>
      </c>
      <c r="R94" s="2">
        <f t="shared" si="18"/>
        <v>0</v>
      </c>
      <c r="V94" s="2">
        <f t="shared" si="23"/>
        <v>0</v>
      </c>
      <c r="X94" s="2">
        <f t="shared" si="13"/>
        <v>0</v>
      </c>
    </row>
    <row r="95" spans="1:24" x14ac:dyDescent="0.25">
      <c r="A95" s="139" t="s">
        <v>111</v>
      </c>
      <c r="B95" s="140" t="s">
        <v>149</v>
      </c>
      <c r="C95" s="160" t="s">
        <v>150</v>
      </c>
      <c r="D95" s="153"/>
      <c r="E95" s="145"/>
      <c r="G95" s="1" t="s">
        <v>51</v>
      </c>
      <c r="H95" s="1" t="str">
        <f t="shared" si="21"/>
        <v>Lavandería</v>
      </c>
      <c r="I95" s="2">
        <f t="shared" si="22"/>
        <v>0</v>
      </c>
      <c r="L95" s="2">
        <f t="shared" si="9"/>
        <v>0</v>
      </c>
      <c r="M95" s="3">
        <f t="shared" si="17"/>
        <v>0</v>
      </c>
      <c r="N95" s="2">
        <f t="shared" si="8"/>
        <v>0</v>
      </c>
      <c r="O95" s="2">
        <f t="shared" si="20"/>
        <v>0</v>
      </c>
      <c r="R95" s="2">
        <f t="shared" si="18"/>
        <v>0</v>
      </c>
      <c r="V95" s="2">
        <f t="shared" si="23"/>
        <v>0</v>
      </c>
      <c r="X95" s="2">
        <f t="shared" si="13"/>
        <v>0</v>
      </c>
    </row>
    <row r="96" spans="1:24" x14ac:dyDescent="0.25">
      <c r="A96" s="139" t="s">
        <v>111</v>
      </c>
      <c r="B96" s="140" t="s">
        <v>149</v>
      </c>
      <c r="C96" s="160" t="s">
        <v>151</v>
      </c>
      <c r="D96" s="153"/>
      <c r="E96" s="145"/>
      <c r="G96" s="1" t="s">
        <v>51</v>
      </c>
      <c r="H96" s="1" t="str">
        <f t="shared" si="21"/>
        <v>Limpieza e higiene</v>
      </c>
      <c r="I96" s="2">
        <f t="shared" si="22"/>
        <v>0</v>
      </c>
      <c r="L96" s="2">
        <f t="shared" si="9"/>
        <v>0</v>
      </c>
      <c r="M96" s="3">
        <f t="shared" si="17"/>
        <v>0</v>
      </c>
      <c r="N96" s="2">
        <f t="shared" si="8"/>
        <v>0</v>
      </c>
      <c r="O96" s="2">
        <f t="shared" si="20"/>
        <v>0</v>
      </c>
      <c r="R96" s="2">
        <f t="shared" si="18"/>
        <v>0</v>
      </c>
      <c r="V96" s="2">
        <f t="shared" si="23"/>
        <v>0</v>
      </c>
      <c r="X96" s="2">
        <f t="shared" si="13"/>
        <v>0</v>
      </c>
    </row>
    <row r="97" spans="1:27" x14ac:dyDescent="0.25">
      <c r="A97" s="139" t="s">
        <v>111</v>
      </c>
      <c r="C97" s="160" t="s">
        <v>152</v>
      </c>
      <c r="D97" s="153"/>
      <c r="E97" s="145"/>
      <c r="G97" s="1" t="s">
        <v>51</v>
      </c>
      <c r="H97" s="1" t="str">
        <f t="shared" si="21"/>
        <v>Eventos generales</v>
      </c>
      <c r="I97" s="2">
        <f t="shared" si="22"/>
        <v>0</v>
      </c>
      <c r="L97" s="2">
        <f t="shared" si="9"/>
        <v>0</v>
      </c>
      <c r="M97" s="3">
        <f t="shared" si="17"/>
        <v>0</v>
      </c>
      <c r="N97" s="2">
        <f t="shared" si="8"/>
        <v>0</v>
      </c>
      <c r="O97" s="2">
        <f t="shared" si="20"/>
        <v>0</v>
      </c>
      <c r="R97" s="2">
        <f t="shared" si="18"/>
        <v>0</v>
      </c>
      <c r="V97" s="2">
        <f t="shared" si="23"/>
        <v>0</v>
      </c>
      <c r="X97" s="2">
        <f t="shared" si="13"/>
        <v>0</v>
      </c>
    </row>
    <row r="98" spans="1:27" x14ac:dyDescent="0.25">
      <c r="A98" s="139" t="s">
        <v>111</v>
      </c>
      <c r="C98" s="160" t="s">
        <v>153</v>
      </c>
      <c r="D98" s="153"/>
      <c r="E98" s="145"/>
      <c r="G98" s="1" t="s">
        <v>51</v>
      </c>
      <c r="H98" s="1" t="str">
        <f t="shared" si="21"/>
        <v>Festividades</v>
      </c>
      <c r="I98" s="2">
        <f t="shared" si="22"/>
        <v>0</v>
      </c>
      <c r="L98" s="2">
        <f t="shared" si="9"/>
        <v>0</v>
      </c>
      <c r="M98" s="3">
        <f t="shared" si="17"/>
        <v>0</v>
      </c>
      <c r="N98" s="2">
        <f t="shared" si="8"/>
        <v>0</v>
      </c>
      <c r="O98" s="2">
        <f t="shared" si="20"/>
        <v>0</v>
      </c>
      <c r="R98" s="2">
        <f t="shared" si="18"/>
        <v>0</v>
      </c>
      <c r="V98" s="2">
        <f t="shared" si="23"/>
        <v>0</v>
      </c>
      <c r="X98" s="2">
        <f t="shared" si="13"/>
        <v>0</v>
      </c>
    </row>
    <row r="99" spans="1:27" x14ac:dyDescent="0.25">
      <c r="A99" s="139" t="s">
        <v>111</v>
      </c>
      <c r="C99" s="160" t="s">
        <v>154</v>
      </c>
      <c r="D99" s="153"/>
      <c r="E99" s="145"/>
      <c r="G99" s="1" t="s">
        <v>51</v>
      </c>
      <c r="H99" s="1" t="str">
        <f t="shared" si="21"/>
        <v>Servicios jurídicos</v>
      </c>
      <c r="I99" s="2">
        <f t="shared" si="22"/>
        <v>0</v>
      </c>
      <c r="L99" s="2">
        <f t="shared" si="9"/>
        <v>0</v>
      </c>
      <c r="M99" s="3">
        <f t="shared" si="17"/>
        <v>0</v>
      </c>
      <c r="N99" s="2">
        <f t="shared" si="8"/>
        <v>0</v>
      </c>
      <c r="O99" s="2">
        <f t="shared" si="20"/>
        <v>0</v>
      </c>
      <c r="R99" s="2">
        <f t="shared" si="18"/>
        <v>0</v>
      </c>
      <c r="V99" s="2">
        <f t="shared" si="23"/>
        <v>0</v>
      </c>
      <c r="X99" s="2">
        <f t="shared" si="13"/>
        <v>0</v>
      </c>
    </row>
    <row r="100" spans="1:27" x14ac:dyDescent="0.25">
      <c r="A100" s="139" t="s">
        <v>111</v>
      </c>
      <c r="B100" s="163" t="s">
        <v>155</v>
      </c>
      <c r="C100" s="160" t="s">
        <v>156</v>
      </c>
      <c r="D100" s="153"/>
      <c r="E100" s="145"/>
      <c r="G100" s="1" t="s">
        <v>51</v>
      </c>
      <c r="H100" s="1" t="str">
        <f t="shared" si="21"/>
        <v>Servicios de capacitación</v>
      </c>
      <c r="I100" s="2">
        <f t="shared" si="22"/>
        <v>0</v>
      </c>
      <c r="L100" s="2">
        <f t="shared" si="9"/>
        <v>0</v>
      </c>
      <c r="M100" s="3">
        <f t="shared" si="17"/>
        <v>0</v>
      </c>
      <c r="N100" s="2">
        <f t="shared" si="8"/>
        <v>0</v>
      </c>
      <c r="O100" s="2">
        <f t="shared" si="20"/>
        <v>0</v>
      </c>
      <c r="R100" s="2">
        <f t="shared" si="18"/>
        <v>0</v>
      </c>
      <c r="V100" s="2">
        <f t="shared" si="23"/>
        <v>0</v>
      </c>
      <c r="X100" s="2">
        <f t="shared" si="13"/>
        <v>0</v>
      </c>
    </row>
    <row r="101" spans="1:27" x14ac:dyDescent="0.25">
      <c r="A101" s="139" t="s">
        <v>111</v>
      </c>
      <c r="C101" s="160" t="s">
        <v>157</v>
      </c>
      <c r="D101" s="153"/>
      <c r="E101" s="145"/>
      <c r="G101" s="1" t="s">
        <v>51</v>
      </c>
      <c r="H101" s="1" t="str">
        <f t="shared" si="21"/>
        <v>Otros servicios técnicos profesionales</v>
      </c>
      <c r="I101" s="2">
        <f t="shared" si="22"/>
        <v>0</v>
      </c>
      <c r="L101" s="2">
        <f t="shared" si="9"/>
        <v>0</v>
      </c>
      <c r="M101" s="3">
        <f t="shared" si="17"/>
        <v>0</v>
      </c>
      <c r="N101" s="2">
        <f t="shared" si="8"/>
        <v>0</v>
      </c>
      <c r="O101" s="2">
        <f t="shared" si="20"/>
        <v>0</v>
      </c>
      <c r="R101" s="2">
        <f t="shared" si="18"/>
        <v>0</v>
      </c>
      <c r="V101" s="2">
        <f t="shared" si="23"/>
        <v>0</v>
      </c>
      <c r="X101" s="2">
        <f t="shared" si="13"/>
        <v>0</v>
      </c>
    </row>
    <row r="102" spans="1:27" x14ac:dyDescent="0.25">
      <c r="A102" s="139" t="s">
        <v>111</v>
      </c>
      <c r="C102" s="160" t="s">
        <v>399</v>
      </c>
      <c r="D102" s="153"/>
      <c r="E102" s="145"/>
      <c r="H102" s="1" t="str">
        <f t="shared" si="21"/>
        <v>Impuestos </v>
      </c>
      <c r="I102" s="2">
        <f t="shared" si="22"/>
        <v>0</v>
      </c>
      <c r="L102" s="2">
        <f t="shared" si="9"/>
        <v>0</v>
      </c>
      <c r="M102" s="3">
        <f t="shared" si="17"/>
        <v>0</v>
      </c>
      <c r="N102" s="2">
        <f t="shared" si="8"/>
        <v>0</v>
      </c>
      <c r="O102" s="2">
        <f t="shared" si="20"/>
        <v>0</v>
      </c>
      <c r="R102" s="2">
        <f t="shared" si="18"/>
        <v>0</v>
      </c>
      <c r="V102" s="2">
        <f t="shared" si="23"/>
        <v>0</v>
      </c>
      <c r="X102" s="2">
        <f t="shared" si="13"/>
        <v>0</v>
      </c>
    </row>
    <row r="103" spans="1:27" s="23" customFormat="1" x14ac:dyDescent="0.25">
      <c r="A103" s="139"/>
      <c r="B103" s="140"/>
      <c r="C103" s="6" t="s">
        <v>158</v>
      </c>
      <c r="D103" s="153"/>
      <c r="E103" s="145"/>
      <c r="F103" s="141"/>
      <c r="I103" s="8"/>
      <c r="L103" s="2">
        <f t="shared" si="9"/>
        <v>0</v>
      </c>
      <c r="M103" s="3">
        <f t="shared" si="17"/>
        <v>0</v>
      </c>
      <c r="N103" s="8">
        <f t="shared" si="8"/>
        <v>0</v>
      </c>
      <c r="O103" s="2">
        <f t="shared" si="20"/>
        <v>0</v>
      </c>
      <c r="P103" s="1"/>
      <c r="R103" s="8">
        <f t="shared" si="18"/>
        <v>0</v>
      </c>
      <c r="V103" s="2">
        <f t="shared" si="23"/>
        <v>0</v>
      </c>
      <c r="X103" s="8">
        <f t="shared" si="13"/>
        <v>0</v>
      </c>
      <c r="Z103" s="13" t="b">
        <f t="shared" ref="Z103:Z134" si="24">+AA103=C103</f>
        <v>1</v>
      </c>
      <c r="AA103" s="25" t="s">
        <v>158</v>
      </c>
    </row>
    <row r="104" spans="1:27" s="23" customFormat="1" x14ac:dyDescent="0.25">
      <c r="A104" s="139"/>
      <c r="B104" s="140"/>
      <c r="C104" s="6" t="s">
        <v>159</v>
      </c>
      <c r="D104" s="153"/>
      <c r="E104" s="145"/>
      <c r="F104" s="141"/>
      <c r="I104" s="8"/>
      <c r="L104" s="2">
        <f t="shared" si="9"/>
        <v>0</v>
      </c>
      <c r="M104" s="3">
        <f t="shared" si="17"/>
        <v>0</v>
      </c>
      <c r="N104" s="8">
        <f t="shared" si="8"/>
        <v>0</v>
      </c>
      <c r="O104" s="2">
        <f t="shared" si="20"/>
        <v>0</v>
      </c>
      <c r="P104" s="1"/>
      <c r="R104" s="8">
        <f t="shared" si="18"/>
        <v>0</v>
      </c>
      <c r="V104" s="2">
        <f t="shared" si="23"/>
        <v>0</v>
      </c>
      <c r="X104" s="8">
        <f t="shared" si="13"/>
        <v>0</v>
      </c>
      <c r="Z104" s="13" t="b">
        <f t="shared" si="24"/>
        <v>1</v>
      </c>
      <c r="AA104" s="25" t="s">
        <v>159</v>
      </c>
    </row>
    <row r="105" spans="1:27" x14ac:dyDescent="0.25">
      <c r="A105" s="139" t="s">
        <v>85</v>
      </c>
      <c r="B105" s="141" t="s">
        <v>160</v>
      </c>
      <c r="C105" s="165" t="s">
        <v>161</v>
      </c>
      <c r="D105" s="153">
        <v>1465717</v>
      </c>
      <c r="E105" s="145"/>
      <c r="G105" s="1" t="s">
        <v>51</v>
      </c>
      <c r="H105" s="1" t="str">
        <f>+C105</f>
        <v>Alimentos y bebidas para personas</v>
      </c>
      <c r="I105" s="2">
        <f>+D105</f>
        <v>1465717</v>
      </c>
      <c r="L105" s="2">
        <f t="shared" si="9"/>
        <v>0</v>
      </c>
      <c r="M105" s="3">
        <f t="shared" si="17"/>
        <v>1465717</v>
      </c>
      <c r="N105" s="2">
        <f t="shared" si="8"/>
        <v>-1465717</v>
      </c>
      <c r="O105" s="2">
        <f t="shared" si="20"/>
        <v>-1465717</v>
      </c>
      <c r="R105" s="2">
        <f t="shared" si="18"/>
        <v>-1465717</v>
      </c>
      <c r="T105" s="2"/>
      <c r="U105" s="2"/>
      <c r="V105" s="2">
        <f>M105</f>
        <v>1465717</v>
      </c>
      <c r="X105" s="2">
        <f t="shared" si="13"/>
        <v>2931434</v>
      </c>
      <c r="Z105" s="13" t="b">
        <f t="shared" si="24"/>
        <v>1</v>
      </c>
      <c r="AA105" s="26" t="s">
        <v>161</v>
      </c>
    </row>
    <row r="106" spans="1:27" x14ac:dyDescent="0.25">
      <c r="A106" s="139" t="s">
        <v>162</v>
      </c>
      <c r="B106" s="141" t="s">
        <v>163</v>
      </c>
      <c r="C106" s="165" t="s">
        <v>164</v>
      </c>
      <c r="D106" s="153"/>
      <c r="E106" s="145"/>
      <c r="G106" s="1" t="s">
        <v>51</v>
      </c>
      <c r="H106" s="1" t="str">
        <f>+C106</f>
        <v>Productos forestales</v>
      </c>
      <c r="I106" s="2">
        <f>+D106</f>
        <v>0</v>
      </c>
      <c r="L106" s="2">
        <f t="shared" si="9"/>
        <v>0</v>
      </c>
      <c r="M106" s="3">
        <f t="shared" si="17"/>
        <v>0</v>
      </c>
      <c r="N106" s="2">
        <f t="shared" si="8"/>
        <v>0</v>
      </c>
      <c r="O106" s="2">
        <f t="shared" si="20"/>
        <v>0</v>
      </c>
      <c r="R106" s="2">
        <f t="shared" si="18"/>
        <v>0</v>
      </c>
      <c r="T106" s="2"/>
      <c r="U106" s="2"/>
      <c r="V106" s="2">
        <f t="shared" ref="V106:V166" si="25">M106</f>
        <v>0</v>
      </c>
      <c r="X106" s="2">
        <f t="shared" si="13"/>
        <v>0</v>
      </c>
      <c r="Z106" s="13" t="b">
        <f t="shared" si="24"/>
        <v>1</v>
      </c>
      <c r="AA106" s="26" t="s">
        <v>164</v>
      </c>
    </row>
    <row r="107" spans="1:27" s="23" customFormat="1" x14ac:dyDescent="0.25">
      <c r="A107" s="139"/>
      <c r="B107" s="141"/>
      <c r="C107" s="6" t="s">
        <v>165</v>
      </c>
      <c r="D107" s="153"/>
      <c r="E107" s="145"/>
      <c r="F107" s="141"/>
      <c r="I107" s="8"/>
      <c r="L107" s="2">
        <f t="shared" si="9"/>
        <v>0</v>
      </c>
      <c r="M107" s="3">
        <f t="shared" si="17"/>
        <v>0</v>
      </c>
      <c r="N107" s="8">
        <f t="shared" si="8"/>
        <v>0</v>
      </c>
      <c r="O107" s="2">
        <f t="shared" si="20"/>
        <v>0</v>
      </c>
      <c r="P107" s="1"/>
      <c r="R107" s="8">
        <f t="shared" si="18"/>
        <v>0</v>
      </c>
      <c r="V107" s="2">
        <f t="shared" si="25"/>
        <v>0</v>
      </c>
      <c r="X107" s="8">
        <f t="shared" si="13"/>
        <v>0</v>
      </c>
      <c r="Z107" s="13" t="b">
        <f t="shared" si="24"/>
        <v>1</v>
      </c>
      <c r="AA107" s="25" t="s">
        <v>165</v>
      </c>
    </row>
    <row r="108" spans="1:27" x14ac:dyDescent="0.25">
      <c r="A108" s="139" t="s">
        <v>162</v>
      </c>
      <c r="B108" s="141" t="s">
        <v>166</v>
      </c>
      <c r="C108" s="165" t="s">
        <v>167</v>
      </c>
      <c r="D108" s="166"/>
      <c r="E108" s="145"/>
      <c r="G108" s="1" t="s">
        <v>51</v>
      </c>
      <c r="H108" s="1" t="str">
        <f t="shared" ref="H108:I110" si="26">+C108</f>
        <v>Hilados y telas</v>
      </c>
      <c r="I108" s="2">
        <f t="shared" si="26"/>
        <v>0</v>
      </c>
      <c r="L108" s="2">
        <f t="shared" si="9"/>
        <v>0</v>
      </c>
      <c r="M108" s="3">
        <f t="shared" si="17"/>
        <v>0</v>
      </c>
      <c r="N108" s="2">
        <f t="shared" si="8"/>
        <v>0</v>
      </c>
      <c r="O108" s="2">
        <f t="shared" si="20"/>
        <v>0</v>
      </c>
      <c r="R108" s="2">
        <f t="shared" si="18"/>
        <v>0</v>
      </c>
      <c r="V108" s="2">
        <f t="shared" si="25"/>
        <v>0</v>
      </c>
      <c r="X108" s="2">
        <f t="shared" si="13"/>
        <v>0</v>
      </c>
      <c r="Z108" s="13" t="b">
        <f t="shared" si="24"/>
        <v>1</v>
      </c>
      <c r="AA108" s="26" t="s">
        <v>167</v>
      </c>
    </row>
    <row r="109" spans="1:27" x14ac:dyDescent="0.25">
      <c r="A109" s="139" t="s">
        <v>162</v>
      </c>
      <c r="B109" s="141" t="s">
        <v>168</v>
      </c>
      <c r="C109" s="165" t="s">
        <v>169</v>
      </c>
      <c r="D109" s="153"/>
      <c r="E109" s="145"/>
      <c r="G109" s="1" t="s">
        <v>51</v>
      </c>
      <c r="H109" s="1" t="str">
        <f t="shared" si="26"/>
        <v>Acabados textiles</v>
      </c>
      <c r="I109" s="2">
        <f t="shared" si="26"/>
        <v>0</v>
      </c>
      <c r="L109" s="2">
        <f t="shared" si="9"/>
        <v>0</v>
      </c>
      <c r="M109" s="3">
        <f t="shared" si="17"/>
        <v>0</v>
      </c>
      <c r="N109" s="2">
        <f t="shared" ref="N109:N164" si="27">-M109</f>
        <v>0</v>
      </c>
      <c r="O109" s="2">
        <f t="shared" si="20"/>
        <v>0</v>
      </c>
      <c r="R109" s="2">
        <f t="shared" si="18"/>
        <v>0</v>
      </c>
      <c r="V109" s="2">
        <f t="shared" si="25"/>
        <v>0</v>
      </c>
      <c r="X109" s="2">
        <f t="shared" si="13"/>
        <v>0</v>
      </c>
      <c r="Z109" s="13" t="b">
        <f t="shared" si="24"/>
        <v>1</v>
      </c>
      <c r="AA109" s="26" t="s">
        <v>169</v>
      </c>
    </row>
    <row r="110" spans="1:27" x14ac:dyDescent="0.25">
      <c r="A110" s="139" t="s">
        <v>85</v>
      </c>
      <c r="B110" s="141" t="s">
        <v>170</v>
      </c>
      <c r="C110" s="165" t="s">
        <v>171</v>
      </c>
      <c r="D110" s="153"/>
      <c r="E110" s="145"/>
      <c r="G110" s="1" t="s">
        <v>51</v>
      </c>
      <c r="H110" s="1" t="str">
        <f t="shared" si="26"/>
        <v>Prendas de vestir</v>
      </c>
      <c r="I110" s="2">
        <f t="shared" si="26"/>
        <v>0</v>
      </c>
      <c r="L110" s="2">
        <f t="shared" ref="L110:L162" si="28">E110</f>
        <v>0</v>
      </c>
      <c r="M110" s="3">
        <f t="shared" si="17"/>
        <v>0</v>
      </c>
      <c r="N110" s="2">
        <f t="shared" si="27"/>
        <v>0</v>
      </c>
      <c r="O110" s="2">
        <f t="shared" si="20"/>
        <v>0</v>
      </c>
      <c r="R110" s="2">
        <f t="shared" si="18"/>
        <v>0</v>
      </c>
      <c r="T110" s="2">
        <f>+N110</f>
        <v>0</v>
      </c>
      <c r="U110" s="2"/>
      <c r="V110" s="2">
        <f t="shared" si="25"/>
        <v>0</v>
      </c>
      <c r="X110" s="2">
        <f t="shared" si="13"/>
        <v>0</v>
      </c>
      <c r="Z110" s="13" t="b">
        <f t="shared" si="24"/>
        <v>1</v>
      </c>
      <c r="AA110" s="26" t="s">
        <v>171</v>
      </c>
    </row>
    <row r="111" spans="1:27" s="23" customFormat="1" x14ac:dyDescent="0.25">
      <c r="A111" s="139"/>
      <c r="B111" s="141"/>
      <c r="C111" s="6" t="s">
        <v>172</v>
      </c>
      <c r="D111" s="153"/>
      <c r="E111" s="145"/>
      <c r="F111" s="141"/>
      <c r="I111" s="8"/>
      <c r="L111" s="2">
        <f t="shared" si="28"/>
        <v>0</v>
      </c>
      <c r="M111" s="3">
        <f t="shared" si="17"/>
        <v>0</v>
      </c>
      <c r="N111" s="8">
        <f t="shared" si="27"/>
        <v>0</v>
      </c>
      <c r="O111" s="2">
        <f t="shared" si="20"/>
        <v>0</v>
      </c>
      <c r="P111" s="1"/>
      <c r="R111" s="8">
        <f t="shared" si="18"/>
        <v>0</v>
      </c>
      <c r="V111" s="2">
        <f t="shared" si="25"/>
        <v>0</v>
      </c>
      <c r="X111" s="8">
        <f t="shared" si="13"/>
        <v>0</v>
      </c>
      <c r="Z111" s="13" t="b">
        <f t="shared" si="24"/>
        <v>1</v>
      </c>
      <c r="AA111" s="25" t="s">
        <v>172</v>
      </c>
    </row>
    <row r="112" spans="1:27" x14ac:dyDescent="0.25">
      <c r="A112" s="139" t="s">
        <v>162</v>
      </c>
      <c r="B112" s="141" t="s">
        <v>173</v>
      </c>
      <c r="C112" s="165" t="s">
        <v>174</v>
      </c>
      <c r="D112" s="153"/>
      <c r="E112" s="145"/>
      <c r="G112" s="1" t="s">
        <v>51</v>
      </c>
      <c r="H112" s="1" t="str">
        <f t="shared" ref="H112:I115" si="29">+C112</f>
        <v>Papel de escritorio</v>
      </c>
      <c r="I112" s="2">
        <f t="shared" si="29"/>
        <v>0</v>
      </c>
      <c r="L112" s="2">
        <f t="shared" si="28"/>
        <v>0</v>
      </c>
      <c r="M112" s="3">
        <f t="shared" si="17"/>
        <v>0</v>
      </c>
      <c r="N112" s="2">
        <f t="shared" si="27"/>
        <v>0</v>
      </c>
      <c r="O112" s="2">
        <f t="shared" si="20"/>
        <v>0</v>
      </c>
      <c r="R112" s="2">
        <f t="shared" si="18"/>
        <v>0</v>
      </c>
      <c r="V112" s="2">
        <f t="shared" si="25"/>
        <v>0</v>
      </c>
      <c r="X112" s="2">
        <f t="shared" si="13"/>
        <v>0</v>
      </c>
      <c r="Z112" s="13" t="b">
        <f t="shared" si="24"/>
        <v>1</v>
      </c>
      <c r="AA112" s="26" t="s">
        <v>174</v>
      </c>
    </row>
    <row r="113" spans="1:27" x14ac:dyDescent="0.25">
      <c r="A113" s="139" t="s">
        <v>162</v>
      </c>
      <c r="B113" s="141" t="s">
        <v>175</v>
      </c>
      <c r="C113" s="165" t="s">
        <v>176</v>
      </c>
      <c r="D113" s="153"/>
      <c r="E113" s="145"/>
      <c r="G113" s="1" t="s">
        <v>51</v>
      </c>
      <c r="H113" s="1" t="str">
        <f t="shared" si="29"/>
        <v>Productos de papel y cartón</v>
      </c>
      <c r="I113" s="2">
        <f t="shared" si="29"/>
        <v>0</v>
      </c>
      <c r="L113" s="2">
        <f t="shared" si="28"/>
        <v>0</v>
      </c>
      <c r="M113" s="3">
        <f t="shared" si="17"/>
        <v>0</v>
      </c>
      <c r="N113" s="2">
        <f t="shared" si="27"/>
        <v>0</v>
      </c>
      <c r="O113" s="2">
        <f t="shared" si="20"/>
        <v>0</v>
      </c>
      <c r="R113" s="2">
        <f t="shared" si="18"/>
        <v>0</v>
      </c>
      <c r="V113" s="2">
        <f t="shared" si="25"/>
        <v>0</v>
      </c>
      <c r="X113" s="2">
        <f t="shared" si="13"/>
        <v>0</v>
      </c>
      <c r="Z113" s="13" t="b">
        <f t="shared" si="24"/>
        <v>1</v>
      </c>
      <c r="AA113" s="26" t="s">
        <v>176</v>
      </c>
    </row>
    <row r="114" spans="1:27" x14ac:dyDescent="0.25">
      <c r="A114" s="139" t="s">
        <v>162</v>
      </c>
      <c r="B114" s="141" t="s">
        <v>177</v>
      </c>
      <c r="C114" s="165" t="s">
        <v>178</v>
      </c>
      <c r="D114" s="153"/>
      <c r="E114" s="145"/>
      <c r="G114" s="1" t="s">
        <v>51</v>
      </c>
      <c r="H114" s="1" t="str">
        <f t="shared" si="29"/>
        <v>Productos de artes gráficas</v>
      </c>
      <c r="I114" s="2">
        <f t="shared" si="29"/>
        <v>0</v>
      </c>
      <c r="L114" s="2">
        <f t="shared" si="28"/>
        <v>0</v>
      </c>
      <c r="M114" s="3">
        <f t="shared" si="17"/>
        <v>0</v>
      </c>
      <c r="N114" s="2">
        <f t="shared" si="27"/>
        <v>0</v>
      </c>
      <c r="O114" s="2">
        <f t="shared" si="20"/>
        <v>0</v>
      </c>
      <c r="R114" s="2">
        <f t="shared" si="18"/>
        <v>0</v>
      </c>
      <c r="V114" s="2">
        <f t="shared" si="25"/>
        <v>0</v>
      </c>
      <c r="X114" s="2">
        <f t="shared" si="13"/>
        <v>0</v>
      </c>
      <c r="Z114" s="13" t="b">
        <f t="shared" si="24"/>
        <v>1</v>
      </c>
      <c r="AA114" s="26" t="s">
        <v>178</v>
      </c>
    </row>
    <row r="115" spans="1:27" x14ac:dyDescent="0.25">
      <c r="A115" s="139" t="s">
        <v>85</v>
      </c>
      <c r="B115" s="141" t="s">
        <v>179</v>
      </c>
      <c r="C115" s="165" t="s">
        <v>180</v>
      </c>
      <c r="D115" s="153"/>
      <c r="E115" s="145"/>
      <c r="G115" s="1" t="s">
        <v>51</v>
      </c>
      <c r="H115" s="1" t="str">
        <f t="shared" si="29"/>
        <v>Productos medicinales para uso humano</v>
      </c>
      <c r="I115" s="2">
        <f t="shared" si="29"/>
        <v>0</v>
      </c>
      <c r="L115" s="2">
        <f t="shared" si="28"/>
        <v>0</v>
      </c>
      <c r="M115" s="3">
        <f t="shared" si="17"/>
        <v>0</v>
      </c>
      <c r="N115" s="2">
        <f t="shared" si="27"/>
        <v>0</v>
      </c>
      <c r="O115" s="2"/>
      <c r="P115" s="2"/>
      <c r="R115" s="2">
        <f t="shared" si="18"/>
        <v>0</v>
      </c>
      <c r="T115" s="2">
        <f>+N115</f>
        <v>0</v>
      </c>
      <c r="U115" s="2"/>
      <c r="V115" s="2">
        <f t="shared" si="25"/>
        <v>0</v>
      </c>
      <c r="X115" s="2">
        <f t="shared" si="13"/>
        <v>0</v>
      </c>
      <c r="Z115" s="13" t="b">
        <f t="shared" si="24"/>
        <v>1</v>
      </c>
      <c r="AA115" s="26" t="s">
        <v>180</v>
      </c>
    </row>
    <row r="116" spans="1:27" s="23" customFormat="1" x14ac:dyDescent="0.25">
      <c r="A116" s="139"/>
      <c r="B116" s="141"/>
      <c r="C116" s="6" t="s">
        <v>181</v>
      </c>
      <c r="D116" s="153"/>
      <c r="E116" s="145"/>
      <c r="F116" s="141"/>
      <c r="I116" s="8"/>
      <c r="L116" s="2">
        <f t="shared" si="28"/>
        <v>0</v>
      </c>
      <c r="M116" s="3">
        <f t="shared" si="17"/>
        <v>0</v>
      </c>
      <c r="N116" s="8">
        <f t="shared" si="27"/>
        <v>0</v>
      </c>
      <c r="O116" s="8"/>
      <c r="P116" s="8"/>
      <c r="R116" s="8">
        <f t="shared" si="18"/>
        <v>0</v>
      </c>
      <c r="V116" s="2">
        <f t="shared" si="25"/>
        <v>0</v>
      </c>
      <c r="X116" s="8">
        <f t="shared" si="13"/>
        <v>0</v>
      </c>
      <c r="Z116" s="13" t="b">
        <f t="shared" si="24"/>
        <v>1</v>
      </c>
      <c r="AA116" s="25" t="s">
        <v>181</v>
      </c>
    </row>
    <row r="117" spans="1:27" x14ac:dyDescent="0.25">
      <c r="A117" s="139" t="s">
        <v>162</v>
      </c>
      <c r="B117" s="141" t="s">
        <v>182</v>
      </c>
      <c r="C117" s="165" t="s">
        <v>183</v>
      </c>
      <c r="D117" s="153"/>
      <c r="E117" s="145"/>
      <c r="G117" s="1" t="s">
        <v>51</v>
      </c>
      <c r="H117" s="1" t="str">
        <f t="shared" ref="H117:I121" si="30">+C117</f>
        <v>Artículos de cuero</v>
      </c>
      <c r="I117" s="2">
        <f t="shared" si="30"/>
        <v>0</v>
      </c>
      <c r="L117" s="2">
        <f t="shared" si="28"/>
        <v>0</v>
      </c>
      <c r="M117" s="3">
        <f t="shared" si="17"/>
        <v>0</v>
      </c>
      <c r="N117" s="2">
        <f t="shared" si="27"/>
        <v>0</v>
      </c>
      <c r="O117" s="2"/>
      <c r="P117" s="2"/>
      <c r="R117" s="2">
        <f t="shared" si="18"/>
        <v>0</v>
      </c>
      <c r="V117" s="2">
        <f t="shared" si="25"/>
        <v>0</v>
      </c>
      <c r="X117" s="2">
        <f t="shared" si="13"/>
        <v>0</v>
      </c>
      <c r="Z117" s="13" t="b">
        <f t="shared" si="24"/>
        <v>1</v>
      </c>
      <c r="AA117" s="26" t="s">
        <v>183</v>
      </c>
    </row>
    <row r="118" spans="1:27" x14ac:dyDescent="0.25">
      <c r="A118" s="139" t="s">
        <v>162</v>
      </c>
      <c r="B118" s="141" t="e">
        <v>#N/A</v>
      </c>
      <c r="C118" s="165" t="s">
        <v>184</v>
      </c>
      <c r="D118" s="153"/>
      <c r="E118" s="145"/>
      <c r="H118" s="1" t="str">
        <f t="shared" si="30"/>
        <v>Libros, revistas y periódicos</v>
      </c>
      <c r="I118" s="2">
        <f t="shared" si="30"/>
        <v>0</v>
      </c>
      <c r="L118" s="2">
        <f t="shared" si="28"/>
        <v>0</v>
      </c>
      <c r="M118" s="3">
        <f t="shared" si="17"/>
        <v>0</v>
      </c>
      <c r="N118" s="2">
        <f t="shared" si="27"/>
        <v>0</v>
      </c>
      <c r="O118" s="2"/>
      <c r="P118" s="2"/>
      <c r="R118" s="2">
        <f t="shared" si="18"/>
        <v>0</v>
      </c>
      <c r="V118" s="2">
        <f t="shared" si="25"/>
        <v>0</v>
      </c>
      <c r="X118" s="2">
        <f t="shared" si="13"/>
        <v>0</v>
      </c>
      <c r="Z118" s="13" t="b">
        <f t="shared" si="24"/>
        <v>1</v>
      </c>
      <c r="AA118" s="26" t="s">
        <v>184</v>
      </c>
    </row>
    <row r="119" spans="1:27" x14ac:dyDescent="0.25">
      <c r="A119" s="139" t="s">
        <v>162</v>
      </c>
      <c r="B119" s="141" t="s">
        <v>185</v>
      </c>
      <c r="C119" s="165" t="s">
        <v>186</v>
      </c>
      <c r="D119" s="153"/>
      <c r="E119" s="145"/>
      <c r="G119" s="1" t="s">
        <v>51</v>
      </c>
      <c r="H119" s="1" t="str">
        <f t="shared" si="30"/>
        <v>Llantas y neumáticos</v>
      </c>
      <c r="I119" s="2">
        <f t="shared" si="30"/>
        <v>0</v>
      </c>
      <c r="L119" s="2">
        <f t="shared" si="28"/>
        <v>0</v>
      </c>
      <c r="M119" s="3">
        <f t="shared" si="17"/>
        <v>0</v>
      </c>
      <c r="N119" s="2">
        <f t="shared" si="27"/>
        <v>0</v>
      </c>
      <c r="O119" s="2"/>
      <c r="P119" s="2"/>
      <c r="R119" s="2">
        <f t="shared" si="18"/>
        <v>0</v>
      </c>
      <c r="V119" s="2">
        <f t="shared" si="25"/>
        <v>0</v>
      </c>
      <c r="X119" s="2">
        <f t="shared" si="13"/>
        <v>0</v>
      </c>
      <c r="Z119" s="13" t="b">
        <f t="shared" si="24"/>
        <v>1</v>
      </c>
      <c r="AA119" s="26" t="s">
        <v>186</v>
      </c>
    </row>
    <row r="120" spans="1:27" x14ac:dyDescent="0.25">
      <c r="A120" s="139" t="s">
        <v>162</v>
      </c>
      <c r="B120" s="141" t="s">
        <v>187</v>
      </c>
      <c r="C120" s="165" t="s">
        <v>188</v>
      </c>
      <c r="D120" s="153"/>
      <c r="E120" s="145"/>
      <c r="G120" s="1" t="s">
        <v>51</v>
      </c>
      <c r="H120" s="1" t="str">
        <f t="shared" si="30"/>
        <v>Artículos de caucho</v>
      </c>
      <c r="I120" s="2">
        <f t="shared" si="30"/>
        <v>0</v>
      </c>
      <c r="L120" s="2">
        <f t="shared" si="28"/>
        <v>0</v>
      </c>
      <c r="M120" s="3">
        <f t="shared" si="17"/>
        <v>0</v>
      </c>
      <c r="N120" s="2">
        <f t="shared" si="27"/>
        <v>0</v>
      </c>
      <c r="O120" s="2"/>
      <c r="P120" s="2"/>
      <c r="R120" s="2">
        <f t="shared" si="18"/>
        <v>0</v>
      </c>
      <c r="V120" s="2">
        <f t="shared" si="25"/>
        <v>0</v>
      </c>
      <c r="X120" s="2">
        <f t="shared" si="13"/>
        <v>0</v>
      </c>
      <c r="Z120" s="13" t="b">
        <f t="shared" si="24"/>
        <v>1</v>
      </c>
      <c r="AA120" s="26" t="s">
        <v>188</v>
      </c>
    </row>
    <row r="121" spans="1:27" x14ac:dyDescent="0.25">
      <c r="A121" s="139" t="s">
        <v>162</v>
      </c>
      <c r="B121" s="141" t="s">
        <v>189</v>
      </c>
      <c r="C121" s="165" t="s">
        <v>190</v>
      </c>
      <c r="D121" s="153"/>
      <c r="E121" s="145"/>
      <c r="G121" s="1" t="s">
        <v>51</v>
      </c>
      <c r="H121" s="1" t="str">
        <f t="shared" si="30"/>
        <v>Artículos de plástico</v>
      </c>
      <c r="I121" s="2">
        <f t="shared" si="30"/>
        <v>0</v>
      </c>
      <c r="L121" s="2">
        <f t="shared" si="28"/>
        <v>0</v>
      </c>
      <c r="M121" s="3">
        <f t="shared" si="17"/>
        <v>0</v>
      </c>
      <c r="N121" s="2">
        <f t="shared" si="27"/>
        <v>0</v>
      </c>
      <c r="O121" s="2"/>
      <c r="P121" s="2"/>
      <c r="R121" s="2">
        <f t="shared" si="18"/>
        <v>0</v>
      </c>
      <c r="V121" s="2">
        <f t="shared" si="25"/>
        <v>0</v>
      </c>
      <c r="X121" s="2">
        <f t="shared" si="13"/>
        <v>0</v>
      </c>
      <c r="Z121" s="13" t="b">
        <f t="shared" si="24"/>
        <v>1</v>
      </c>
      <c r="AA121" s="26" t="s">
        <v>190</v>
      </c>
    </row>
    <row r="122" spans="1:27" s="23" customFormat="1" x14ac:dyDescent="0.25">
      <c r="A122" s="139"/>
      <c r="B122" s="141"/>
      <c r="C122" s="6" t="s">
        <v>191</v>
      </c>
      <c r="D122" s="153"/>
      <c r="E122" s="145"/>
      <c r="F122" s="141"/>
      <c r="I122" s="8"/>
      <c r="L122" s="2">
        <f t="shared" si="28"/>
        <v>0</v>
      </c>
      <c r="M122" s="3">
        <f t="shared" si="17"/>
        <v>0</v>
      </c>
      <c r="N122" s="8">
        <f t="shared" si="27"/>
        <v>0</v>
      </c>
      <c r="O122" s="8"/>
      <c r="P122" s="8"/>
      <c r="R122" s="8">
        <f t="shared" si="18"/>
        <v>0</v>
      </c>
      <c r="V122" s="2">
        <f t="shared" si="25"/>
        <v>0</v>
      </c>
      <c r="X122" s="8">
        <f t="shared" si="13"/>
        <v>0</v>
      </c>
      <c r="Z122" s="13" t="b">
        <f t="shared" si="24"/>
        <v>1</v>
      </c>
      <c r="AA122" s="25" t="s">
        <v>191</v>
      </c>
    </row>
    <row r="123" spans="1:27" x14ac:dyDescent="0.25">
      <c r="A123" s="139" t="s">
        <v>162</v>
      </c>
      <c r="B123" s="141" t="s">
        <v>192</v>
      </c>
      <c r="C123" s="165" t="s">
        <v>193</v>
      </c>
      <c r="D123" s="153"/>
      <c r="E123" s="145"/>
      <c r="G123" s="1" t="s">
        <v>51</v>
      </c>
      <c r="H123" s="1" t="str">
        <f t="shared" ref="H123:H131" si="31">+C123</f>
        <v>Productos de cemento</v>
      </c>
      <c r="I123" s="2">
        <f t="shared" ref="I123:I131" si="32">+D123</f>
        <v>0</v>
      </c>
      <c r="L123" s="2">
        <f t="shared" si="28"/>
        <v>0</v>
      </c>
      <c r="M123" s="3">
        <f t="shared" si="17"/>
        <v>0</v>
      </c>
      <c r="N123" s="2">
        <f t="shared" si="27"/>
        <v>0</v>
      </c>
      <c r="O123" s="2"/>
      <c r="P123" s="2"/>
      <c r="R123" s="2">
        <f t="shared" si="18"/>
        <v>0</v>
      </c>
      <c r="V123" s="2">
        <f t="shared" si="25"/>
        <v>0</v>
      </c>
      <c r="X123" s="2">
        <f t="shared" si="13"/>
        <v>0</v>
      </c>
      <c r="Z123" s="13" t="b">
        <f t="shared" si="24"/>
        <v>1</v>
      </c>
      <c r="AA123" s="26" t="s">
        <v>193</v>
      </c>
    </row>
    <row r="124" spans="1:27" x14ac:dyDescent="0.25">
      <c r="A124" s="139" t="s">
        <v>162</v>
      </c>
      <c r="B124" s="141" t="s">
        <v>194</v>
      </c>
      <c r="C124" s="165" t="s">
        <v>195</v>
      </c>
      <c r="D124" s="153"/>
      <c r="E124" s="145"/>
      <c r="G124" s="1" t="s">
        <v>51</v>
      </c>
      <c r="H124" s="1" t="str">
        <f t="shared" si="31"/>
        <v>Productos de yeso</v>
      </c>
      <c r="I124" s="2">
        <f t="shared" si="32"/>
        <v>0</v>
      </c>
      <c r="L124" s="2">
        <f t="shared" si="28"/>
        <v>0</v>
      </c>
      <c r="M124" s="3">
        <f t="shared" si="17"/>
        <v>0</v>
      </c>
      <c r="N124" s="2">
        <f t="shared" si="27"/>
        <v>0</v>
      </c>
      <c r="O124" s="2"/>
      <c r="P124" s="2"/>
      <c r="R124" s="2">
        <f t="shared" si="18"/>
        <v>0</v>
      </c>
      <c r="V124" s="2">
        <f t="shared" si="25"/>
        <v>0</v>
      </c>
      <c r="X124" s="2">
        <f t="shared" si="13"/>
        <v>0</v>
      </c>
      <c r="Z124" s="13" t="b">
        <f t="shared" si="24"/>
        <v>1</v>
      </c>
      <c r="AA124" s="26" t="s">
        <v>195</v>
      </c>
    </row>
    <row r="125" spans="1:27" x14ac:dyDescent="0.25">
      <c r="A125" s="139" t="s">
        <v>162</v>
      </c>
      <c r="B125" s="141" t="s">
        <v>196</v>
      </c>
      <c r="C125" s="165" t="s">
        <v>197</v>
      </c>
      <c r="D125" s="153"/>
      <c r="E125" s="145"/>
      <c r="G125" s="1" t="s">
        <v>51</v>
      </c>
      <c r="H125" s="1" t="str">
        <f t="shared" si="31"/>
        <v>Productos de vidrio</v>
      </c>
      <c r="I125" s="2">
        <f t="shared" si="32"/>
        <v>0</v>
      </c>
      <c r="L125" s="2">
        <f t="shared" si="28"/>
        <v>0</v>
      </c>
      <c r="M125" s="3">
        <f t="shared" si="17"/>
        <v>0</v>
      </c>
      <c r="N125" s="2">
        <f t="shared" si="27"/>
        <v>0</v>
      </c>
      <c r="O125" s="2"/>
      <c r="P125" s="2"/>
      <c r="R125" s="2">
        <f t="shared" si="18"/>
        <v>0</v>
      </c>
      <c r="V125" s="2">
        <f t="shared" si="25"/>
        <v>0</v>
      </c>
      <c r="X125" s="2">
        <f t="shared" ref="X125:X152" si="33">SUM(S125:W125)-N125</f>
        <v>0</v>
      </c>
      <c r="Z125" s="13" t="b">
        <f t="shared" si="24"/>
        <v>1</v>
      </c>
      <c r="AA125" s="26" t="s">
        <v>197</v>
      </c>
    </row>
    <row r="126" spans="1:27" x14ac:dyDescent="0.25">
      <c r="A126" s="139" t="s">
        <v>162</v>
      </c>
      <c r="B126" s="141" t="s">
        <v>198</v>
      </c>
      <c r="C126" s="165" t="s">
        <v>199</v>
      </c>
      <c r="D126" s="153"/>
      <c r="E126" s="145"/>
      <c r="G126" s="1" t="s">
        <v>51</v>
      </c>
      <c r="H126" s="1" t="str">
        <f t="shared" si="31"/>
        <v>Productos ferrosos</v>
      </c>
      <c r="I126" s="2">
        <f t="shared" si="32"/>
        <v>0</v>
      </c>
      <c r="L126" s="2">
        <f t="shared" si="28"/>
        <v>0</v>
      </c>
      <c r="M126" s="3">
        <f t="shared" si="17"/>
        <v>0</v>
      </c>
      <c r="N126" s="2">
        <f t="shared" si="27"/>
        <v>0</v>
      </c>
      <c r="O126" s="2"/>
      <c r="P126" s="2"/>
      <c r="R126" s="2">
        <f t="shared" si="18"/>
        <v>0</v>
      </c>
      <c r="V126" s="2">
        <f t="shared" si="25"/>
        <v>0</v>
      </c>
      <c r="X126" s="2">
        <f t="shared" si="33"/>
        <v>0</v>
      </c>
      <c r="Z126" s="13" t="b">
        <f t="shared" si="24"/>
        <v>1</v>
      </c>
      <c r="AA126" s="26" t="s">
        <v>199</v>
      </c>
    </row>
    <row r="127" spans="1:27" x14ac:dyDescent="0.25">
      <c r="A127" s="139" t="s">
        <v>162</v>
      </c>
      <c r="B127" s="141" t="s">
        <v>200</v>
      </c>
      <c r="C127" s="165" t="s">
        <v>201</v>
      </c>
      <c r="D127" s="153"/>
      <c r="E127" s="145"/>
      <c r="G127" s="1" t="s">
        <v>51</v>
      </c>
      <c r="H127" s="1" t="str">
        <f t="shared" si="31"/>
        <v>Productos no ferrosos</v>
      </c>
      <c r="I127" s="2">
        <f t="shared" si="32"/>
        <v>0</v>
      </c>
      <c r="L127" s="2">
        <f t="shared" si="28"/>
        <v>0</v>
      </c>
      <c r="M127" s="3">
        <f t="shared" si="17"/>
        <v>0</v>
      </c>
      <c r="N127" s="2">
        <f t="shared" si="27"/>
        <v>0</v>
      </c>
      <c r="O127" s="2"/>
      <c r="P127" s="2"/>
      <c r="R127" s="2">
        <f t="shared" ref="R127:R159" si="34">SUM(M127:Q127)</f>
        <v>0</v>
      </c>
      <c r="V127" s="2">
        <f t="shared" si="25"/>
        <v>0</v>
      </c>
      <c r="X127" s="2">
        <f t="shared" si="33"/>
        <v>0</v>
      </c>
      <c r="Z127" s="13" t="b">
        <f t="shared" si="24"/>
        <v>1</v>
      </c>
      <c r="AA127" s="26" t="s">
        <v>201</v>
      </c>
    </row>
    <row r="128" spans="1:27" x14ac:dyDescent="0.25">
      <c r="A128" s="139" t="s">
        <v>162</v>
      </c>
      <c r="B128" s="141" t="e">
        <v>#N/A</v>
      </c>
      <c r="C128" s="165" t="s">
        <v>202</v>
      </c>
      <c r="D128" s="153"/>
      <c r="E128" s="145"/>
      <c r="H128" s="1" t="str">
        <f t="shared" si="31"/>
        <v>Herramientas menores</v>
      </c>
      <c r="I128" s="2">
        <f t="shared" si="32"/>
        <v>0</v>
      </c>
      <c r="L128" s="2">
        <f t="shared" si="28"/>
        <v>0</v>
      </c>
      <c r="M128" s="3">
        <f t="shared" si="17"/>
        <v>0</v>
      </c>
      <c r="N128" s="2">
        <f t="shared" si="27"/>
        <v>0</v>
      </c>
      <c r="O128" s="2"/>
      <c r="P128" s="2"/>
      <c r="R128" s="2">
        <f t="shared" si="34"/>
        <v>0</v>
      </c>
      <c r="V128" s="2">
        <f t="shared" si="25"/>
        <v>0</v>
      </c>
      <c r="X128" s="2">
        <f t="shared" si="33"/>
        <v>0</v>
      </c>
      <c r="Z128" s="13" t="b">
        <f t="shared" si="24"/>
        <v>1</v>
      </c>
      <c r="AA128" s="26" t="s">
        <v>202</v>
      </c>
    </row>
    <row r="129" spans="1:27" x14ac:dyDescent="0.25">
      <c r="A129" s="139" t="s">
        <v>162</v>
      </c>
      <c r="B129" s="141" t="e">
        <v>#N/A</v>
      </c>
      <c r="C129" s="165" t="s">
        <v>203</v>
      </c>
      <c r="D129" s="153"/>
      <c r="E129" s="145"/>
      <c r="H129" s="1" t="str">
        <f t="shared" si="31"/>
        <v>Productos de hojalata</v>
      </c>
      <c r="I129" s="2">
        <f t="shared" si="32"/>
        <v>0</v>
      </c>
      <c r="L129" s="2">
        <f t="shared" si="28"/>
        <v>0</v>
      </c>
      <c r="M129" s="3">
        <f t="shared" si="17"/>
        <v>0</v>
      </c>
      <c r="N129" s="2">
        <f t="shared" si="27"/>
        <v>0</v>
      </c>
      <c r="O129" s="2"/>
      <c r="P129" s="2"/>
      <c r="R129" s="2">
        <f t="shared" si="34"/>
        <v>0</v>
      </c>
      <c r="V129" s="2">
        <f t="shared" si="25"/>
        <v>0</v>
      </c>
      <c r="X129" s="2">
        <f t="shared" si="33"/>
        <v>0</v>
      </c>
      <c r="Z129" s="13" t="b">
        <f t="shared" si="24"/>
        <v>1</v>
      </c>
      <c r="AA129" s="26" t="s">
        <v>203</v>
      </c>
    </row>
    <row r="130" spans="1:27" x14ac:dyDescent="0.25">
      <c r="A130" s="139" t="s">
        <v>162</v>
      </c>
      <c r="B130" s="141" t="s">
        <v>204</v>
      </c>
      <c r="C130" s="165" t="s">
        <v>205</v>
      </c>
      <c r="D130" s="153"/>
      <c r="E130" s="145"/>
      <c r="G130" s="1" t="s">
        <v>51</v>
      </c>
      <c r="H130" s="1" t="str">
        <f t="shared" si="31"/>
        <v>Accesorios de metal</v>
      </c>
      <c r="I130" s="2">
        <f t="shared" si="32"/>
        <v>0</v>
      </c>
      <c r="L130" s="2">
        <f t="shared" si="28"/>
        <v>0</v>
      </c>
      <c r="M130" s="3">
        <f t="shared" si="17"/>
        <v>0</v>
      </c>
      <c r="N130" s="2">
        <f t="shared" si="27"/>
        <v>0</v>
      </c>
      <c r="O130" s="2"/>
      <c r="P130" s="2"/>
      <c r="R130" s="2">
        <f t="shared" si="34"/>
        <v>0</v>
      </c>
      <c r="V130" s="2">
        <f t="shared" si="25"/>
        <v>0</v>
      </c>
      <c r="X130" s="2">
        <f t="shared" si="33"/>
        <v>0</v>
      </c>
      <c r="Z130" s="13" t="b">
        <f t="shared" si="24"/>
        <v>1</v>
      </c>
      <c r="AA130" s="26" t="s">
        <v>205</v>
      </c>
    </row>
    <row r="131" spans="1:27" x14ac:dyDescent="0.25">
      <c r="A131" s="139" t="s">
        <v>162</v>
      </c>
      <c r="B131" s="141" t="e">
        <v>#N/A</v>
      </c>
      <c r="C131" s="165" t="s">
        <v>206</v>
      </c>
      <c r="D131" s="153"/>
      <c r="E131" s="145"/>
      <c r="H131" s="1" t="str">
        <f t="shared" si="31"/>
        <v>Piedra, arcilla y arena</v>
      </c>
      <c r="I131" s="2">
        <f t="shared" si="32"/>
        <v>0</v>
      </c>
      <c r="L131" s="2">
        <f t="shared" si="28"/>
        <v>0</v>
      </c>
      <c r="M131" s="3">
        <f t="shared" si="17"/>
        <v>0</v>
      </c>
      <c r="N131" s="2">
        <f t="shared" si="27"/>
        <v>0</v>
      </c>
      <c r="O131" s="2"/>
      <c r="P131" s="2"/>
      <c r="R131" s="2">
        <f t="shared" si="34"/>
        <v>0</v>
      </c>
      <c r="V131" s="2">
        <f t="shared" si="25"/>
        <v>0</v>
      </c>
      <c r="X131" s="2">
        <f t="shared" si="33"/>
        <v>0</v>
      </c>
      <c r="Z131" s="13" t="b">
        <f t="shared" si="24"/>
        <v>1</v>
      </c>
      <c r="AA131" s="26" t="s">
        <v>206</v>
      </c>
    </row>
    <row r="132" spans="1:27" s="23" customFormat="1" x14ac:dyDescent="0.25">
      <c r="A132" s="139"/>
      <c r="B132" s="141"/>
      <c r="C132" s="6" t="s">
        <v>207</v>
      </c>
      <c r="D132" s="153"/>
      <c r="E132" s="145"/>
      <c r="F132" s="141"/>
      <c r="I132" s="8"/>
      <c r="L132" s="2">
        <f t="shared" si="28"/>
        <v>0</v>
      </c>
      <c r="M132" s="3">
        <f t="shared" si="17"/>
        <v>0</v>
      </c>
      <c r="N132" s="8">
        <f t="shared" si="27"/>
        <v>0</v>
      </c>
      <c r="O132" s="8"/>
      <c r="P132" s="8"/>
      <c r="R132" s="8">
        <f t="shared" si="34"/>
        <v>0</v>
      </c>
      <c r="V132" s="2">
        <f t="shared" si="25"/>
        <v>0</v>
      </c>
      <c r="X132" s="8">
        <f t="shared" si="33"/>
        <v>0</v>
      </c>
      <c r="Z132" s="13" t="b">
        <f t="shared" si="24"/>
        <v>1</v>
      </c>
      <c r="AA132" s="25" t="s">
        <v>207</v>
      </c>
    </row>
    <row r="133" spans="1:27" x14ac:dyDescent="0.25">
      <c r="A133" s="139" t="s">
        <v>162</v>
      </c>
      <c r="B133" s="141" t="s">
        <v>208</v>
      </c>
      <c r="C133" s="165" t="s">
        <v>209</v>
      </c>
      <c r="D133" s="153"/>
      <c r="E133" s="145"/>
      <c r="G133" s="1" t="s">
        <v>51</v>
      </c>
      <c r="H133" s="1" t="str">
        <f t="shared" ref="H133:I138" si="35">+C133</f>
        <v>Gasolina</v>
      </c>
      <c r="I133" s="2">
        <f t="shared" si="35"/>
        <v>0</v>
      </c>
      <c r="L133" s="2">
        <f t="shared" si="28"/>
        <v>0</v>
      </c>
      <c r="M133" s="3">
        <f t="shared" si="17"/>
        <v>0</v>
      </c>
      <c r="N133" s="2">
        <f t="shared" si="27"/>
        <v>0</v>
      </c>
      <c r="O133" s="2"/>
      <c r="P133" s="2"/>
      <c r="R133" s="2">
        <f t="shared" si="34"/>
        <v>0</v>
      </c>
      <c r="V133" s="2">
        <f t="shared" si="25"/>
        <v>0</v>
      </c>
      <c r="X133" s="2">
        <f t="shared" si="33"/>
        <v>0</v>
      </c>
      <c r="Z133" s="13" t="b">
        <f t="shared" si="24"/>
        <v>1</v>
      </c>
      <c r="AA133" s="26" t="s">
        <v>209</v>
      </c>
    </row>
    <row r="134" spans="1:27" x14ac:dyDescent="0.25">
      <c r="A134" s="139" t="s">
        <v>162</v>
      </c>
      <c r="B134" s="141" t="s">
        <v>210</v>
      </c>
      <c r="C134" s="165" t="s">
        <v>211</v>
      </c>
      <c r="D134" s="153"/>
      <c r="E134" s="145"/>
      <c r="G134" s="1" t="s">
        <v>51</v>
      </c>
      <c r="H134" s="1" t="str">
        <f t="shared" si="35"/>
        <v>Gasoil</v>
      </c>
      <c r="I134" s="2">
        <f t="shared" si="35"/>
        <v>0</v>
      </c>
      <c r="L134" s="2">
        <f t="shared" si="28"/>
        <v>0</v>
      </c>
      <c r="M134" s="3">
        <f t="shared" si="17"/>
        <v>0</v>
      </c>
      <c r="N134" s="2">
        <f t="shared" si="27"/>
        <v>0</v>
      </c>
      <c r="O134" s="2"/>
      <c r="P134" s="2"/>
      <c r="R134" s="2">
        <f t="shared" si="34"/>
        <v>0</v>
      </c>
      <c r="V134" s="2">
        <f t="shared" si="25"/>
        <v>0</v>
      </c>
      <c r="X134" s="2">
        <f t="shared" si="33"/>
        <v>0</v>
      </c>
      <c r="Z134" s="13" t="b">
        <f t="shared" si="24"/>
        <v>1</v>
      </c>
      <c r="AA134" s="26" t="s">
        <v>211</v>
      </c>
    </row>
    <row r="135" spans="1:27" x14ac:dyDescent="0.25">
      <c r="A135" s="139" t="s">
        <v>162</v>
      </c>
      <c r="B135" s="141" t="e">
        <v>#N/A</v>
      </c>
      <c r="C135" s="165" t="s">
        <v>212</v>
      </c>
      <c r="D135" s="153"/>
      <c r="E135" s="145"/>
      <c r="H135" s="1" t="str">
        <f t="shared" si="35"/>
        <v>Aceites y grasas</v>
      </c>
      <c r="I135" s="2">
        <f t="shared" si="35"/>
        <v>0</v>
      </c>
      <c r="L135" s="2">
        <f t="shared" si="28"/>
        <v>0</v>
      </c>
      <c r="M135" s="3">
        <f t="shared" si="17"/>
        <v>0</v>
      </c>
      <c r="N135" s="2">
        <f t="shared" si="27"/>
        <v>0</v>
      </c>
      <c r="O135" s="2"/>
      <c r="P135" s="2"/>
      <c r="R135" s="2">
        <f t="shared" si="34"/>
        <v>0</v>
      </c>
      <c r="V135" s="2">
        <f t="shared" si="25"/>
        <v>0</v>
      </c>
      <c r="X135" s="2">
        <f t="shared" si="33"/>
        <v>0</v>
      </c>
      <c r="Z135" s="13" t="b">
        <f t="shared" ref="Z135:Z152" si="36">+AA135=C135</f>
        <v>1</v>
      </c>
      <c r="AA135" s="26" t="s">
        <v>212</v>
      </c>
    </row>
    <row r="136" spans="1:27" x14ac:dyDescent="0.25">
      <c r="A136" s="139" t="s">
        <v>162</v>
      </c>
      <c r="B136" s="141" t="s">
        <v>213</v>
      </c>
      <c r="C136" s="165" t="s">
        <v>214</v>
      </c>
      <c r="D136" s="153"/>
      <c r="E136" s="145"/>
      <c r="G136" s="1" t="s">
        <v>51</v>
      </c>
      <c r="H136" s="1" t="str">
        <f t="shared" si="35"/>
        <v>Productos químicos de laboratorio y de uso personal</v>
      </c>
      <c r="I136" s="2">
        <f t="shared" si="35"/>
        <v>0</v>
      </c>
      <c r="L136" s="2">
        <f t="shared" si="28"/>
        <v>0</v>
      </c>
      <c r="M136" s="3">
        <f t="shared" si="17"/>
        <v>0</v>
      </c>
      <c r="N136" s="2">
        <f t="shared" si="27"/>
        <v>0</v>
      </c>
      <c r="O136" s="2"/>
      <c r="P136" s="2"/>
      <c r="R136" s="2">
        <f t="shared" si="34"/>
        <v>0</v>
      </c>
      <c r="V136" s="2">
        <f t="shared" si="25"/>
        <v>0</v>
      </c>
      <c r="X136" s="2">
        <f t="shared" si="33"/>
        <v>0</v>
      </c>
      <c r="Z136" s="13" t="b">
        <f t="shared" si="36"/>
        <v>1</v>
      </c>
      <c r="AA136" s="26" t="s">
        <v>214</v>
      </c>
    </row>
    <row r="137" spans="1:27" x14ac:dyDescent="0.25">
      <c r="A137" s="139" t="s">
        <v>162</v>
      </c>
      <c r="B137" s="141" t="s">
        <v>215</v>
      </c>
      <c r="C137" s="165" t="s">
        <v>216</v>
      </c>
      <c r="D137" s="153"/>
      <c r="E137" s="145"/>
      <c r="G137" s="1" t="s">
        <v>51</v>
      </c>
      <c r="H137" s="1" t="str">
        <f t="shared" si="35"/>
        <v>Insecticidas, fumigantes y otros</v>
      </c>
      <c r="I137" s="2">
        <f t="shared" si="35"/>
        <v>0</v>
      </c>
      <c r="L137" s="2">
        <f t="shared" si="28"/>
        <v>0</v>
      </c>
      <c r="M137" s="3">
        <f t="shared" si="17"/>
        <v>0</v>
      </c>
      <c r="N137" s="2">
        <f t="shared" si="27"/>
        <v>0</v>
      </c>
      <c r="O137" s="2"/>
      <c r="P137" s="2"/>
      <c r="R137" s="2">
        <f t="shared" si="34"/>
        <v>0</v>
      </c>
      <c r="V137" s="2">
        <f t="shared" si="25"/>
        <v>0</v>
      </c>
      <c r="X137" s="2">
        <f t="shared" si="33"/>
        <v>0</v>
      </c>
      <c r="Z137" s="13" t="b">
        <f t="shared" si="36"/>
        <v>1</v>
      </c>
      <c r="AA137" s="26" t="s">
        <v>216</v>
      </c>
    </row>
    <row r="138" spans="1:27" x14ac:dyDescent="0.25">
      <c r="A138" s="139" t="s">
        <v>162</v>
      </c>
      <c r="B138" s="141" t="s">
        <v>217</v>
      </c>
      <c r="C138" s="165" t="s">
        <v>218</v>
      </c>
      <c r="D138" s="153"/>
      <c r="E138" s="145"/>
      <c r="G138" s="1" t="s">
        <v>51</v>
      </c>
      <c r="H138" s="1" t="str">
        <f t="shared" si="35"/>
        <v>Pinturas, lacas, barnices, diluyentes y absorbentes para pinturas</v>
      </c>
      <c r="I138" s="2">
        <f t="shared" si="35"/>
        <v>0</v>
      </c>
      <c r="L138" s="2">
        <f t="shared" si="28"/>
        <v>0</v>
      </c>
      <c r="M138" s="3">
        <f t="shared" si="17"/>
        <v>0</v>
      </c>
      <c r="N138" s="2">
        <f t="shared" si="27"/>
        <v>0</v>
      </c>
      <c r="O138" s="2"/>
      <c r="P138" s="2"/>
      <c r="R138" s="2">
        <f t="shared" si="34"/>
        <v>0</v>
      </c>
      <c r="V138" s="2">
        <f t="shared" si="25"/>
        <v>0</v>
      </c>
      <c r="X138" s="2">
        <f t="shared" si="33"/>
        <v>0</v>
      </c>
      <c r="Z138" s="13" t="b">
        <f t="shared" si="36"/>
        <v>1</v>
      </c>
      <c r="AA138" s="26" t="s">
        <v>218</v>
      </c>
    </row>
    <row r="139" spans="1:27" s="23" customFormat="1" x14ac:dyDescent="0.25">
      <c r="A139" s="139"/>
      <c r="B139" s="141"/>
      <c r="C139" s="6" t="s">
        <v>219</v>
      </c>
      <c r="D139" s="153"/>
      <c r="E139" s="145"/>
      <c r="F139" s="141"/>
      <c r="I139" s="2">
        <f t="shared" ref="I139:I173" si="37">+D139</f>
        <v>0</v>
      </c>
      <c r="L139" s="2">
        <f t="shared" si="28"/>
        <v>0</v>
      </c>
      <c r="M139" s="3">
        <f t="shared" si="17"/>
        <v>0</v>
      </c>
      <c r="N139" s="8">
        <f t="shared" si="27"/>
        <v>0</v>
      </c>
      <c r="O139" s="8"/>
      <c r="P139" s="8"/>
      <c r="R139" s="8">
        <f t="shared" si="34"/>
        <v>0</v>
      </c>
      <c r="V139" s="2">
        <f t="shared" si="25"/>
        <v>0</v>
      </c>
      <c r="X139" s="8">
        <f t="shared" si="33"/>
        <v>0</v>
      </c>
      <c r="Z139" s="13" t="b">
        <f t="shared" si="36"/>
        <v>1</v>
      </c>
      <c r="AA139" s="25" t="s">
        <v>219</v>
      </c>
    </row>
    <row r="140" spans="1:27" x14ac:dyDescent="0.25">
      <c r="A140" s="139" t="s">
        <v>162</v>
      </c>
      <c r="B140" s="141" t="s">
        <v>220</v>
      </c>
      <c r="C140" s="165" t="s">
        <v>221</v>
      </c>
      <c r="D140" s="153"/>
      <c r="E140" s="145"/>
      <c r="G140" s="1" t="s">
        <v>51</v>
      </c>
      <c r="H140" s="1" t="str">
        <f>+C140</f>
        <v>Material para limpieza</v>
      </c>
      <c r="I140" s="2">
        <f t="shared" si="37"/>
        <v>0</v>
      </c>
      <c r="L140" s="2">
        <f t="shared" si="28"/>
        <v>0</v>
      </c>
      <c r="M140" s="3">
        <f t="shared" si="17"/>
        <v>0</v>
      </c>
      <c r="N140" s="2">
        <f t="shared" si="27"/>
        <v>0</v>
      </c>
      <c r="O140" s="2"/>
      <c r="P140" s="2"/>
      <c r="R140" s="2">
        <f t="shared" si="34"/>
        <v>0</v>
      </c>
      <c r="V140" s="2">
        <f t="shared" si="25"/>
        <v>0</v>
      </c>
      <c r="X140" s="2">
        <f t="shared" si="33"/>
        <v>0</v>
      </c>
      <c r="Z140" s="13" t="b">
        <f t="shared" si="36"/>
        <v>1</v>
      </c>
      <c r="AA140" s="26" t="s">
        <v>221</v>
      </c>
    </row>
    <row r="141" spans="1:27" x14ac:dyDescent="0.25">
      <c r="A141" s="139" t="s">
        <v>162</v>
      </c>
      <c r="B141" s="141" t="s">
        <v>222</v>
      </c>
      <c r="C141" s="165" t="s">
        <v>223</v>
      </c>
      <c r="D141" s="153"/>
      <c r="E141" s="145"/>
      <c r="G141" s="1" t="s">
        <v>51</v>
      </c>
      <c r="H141" s="1" t="str">
        <f>+C141</f>
        <v>Útiles de escritorio, oficina e informática </v>
      </c>
      <c r="I141" s="2">
        <f t="shared" si="37"/>
        <v>0</v>
      </c>
      <c r="L141" s="2">
        <f t="shared" si="28"/>
        <v>0</v>
      </c>
      <c r="M141" s="3">
        <f t="shared" si="17"/>
        <v>0</v>
      </c>
      <c r="N141" s="2">
        <f t="shared" si="27"/>
        <v>0</v>
      </c>
      <c r="O141" s="2"/>
      <c r="P141" s="2"/>
      <c r="R141" s="2">
        <f t="shared" si="34"/>
        <v>0</v>
      </c>
      <c r="V141" s="2">
        <f t="shared" si="25"/>
        <v>0</v>
      </c>
      <c r="X141" s="2">
        <f t="shared" si="33"/>
        <v>0</v>
      </c>
      <c r="Z141" s="13" t="b">
        <f t="shared" si="36"/>
        <v>1</v>
      </c>
      <c r="AA141" s="26" t="s">
        <v>223</v>
      </c>
    </row>
    <row r="142" spans="1:27" x14ac:dyDescent="0.25">
      <c r="A142" s="139" t="s">
        <v>162</v>
      </c>
      <c r="B142" s="141" t="s">
        <v>224</v>
      </c>
      <c r="C142" s="165" t="s">
        <v>225</v>
      </c>
      <c r="D142" s="153"/>
      <c r="E142" s="145"/>
      <c r="G142" s="1" t="s">
        <v>51</v>
      </c>
      <c r="H142" s="1" t="str">
        <f>+C142</f>
        <v>Útiles menores médico quirurgicos</v>
      </c>
      <c r="I142" s="2">
        <f t="shared" si="37"/>
        <v>0</v>
      </c>
      <c r="L142" s="2">
        <f t="shared" si="28"/>
        <v>0</v>
      </c>
      <c r="M142" s="3">
        <f t="shared" si="17"/>
        <v>0</v>
      </c>
      <c r="N142" s="2">
        <f t="shared" si="27"/>
        <v>0</v>
      </c>
      <c r="O142" s="2"/>
      <c r="P142" s="2"/>
      <c r="R142" s="2">
        <f t="shared" si="34"/>
        <v>0</v>
      </c>
      <c r="V142" s="2">
        <f t="shared" si="25"/>
        <v>0</v>
      </c>
      <c r="X142" s="2">
        <f t="shared" si="33"/>
        <v>0</v>
      </c>
      <c r="Z142" s="13" t="b">
        <f t="shared" si="36"/>
        <v>1</v>
      </c>
      <c r="AA142" s="26" t="s">
        <v>225</v>
      </c>
    </row>
    <row r="143" spans="1:27" x14ac:dyDescent="0.25">
      <c r="A143" s="139" t="s">
        <v>162</v>
      </c>
      <c r="B143" s="141"/>
      <c r="C143" s="165" t="s">
        <v>226</v>
      </c>
      <c r="D143" s="153"/>
      <c r="E143" s="145"/>
      <c r="I143" s="2">
        <f t="shared" si="37"/>
        <v>0</v>
      </c>
      <c r="L143" s="2">
        <f t="shared" si="28"/>
        <v>0</v>
      </c>
      <c r="M143" s="3">
        <f t="shared" si="17"/>
        <v>0</v>
      </c>
      <c r="N143" s="2">
        <f>-M143</f>
        <v>0</v>
      </c>
      <c r="O143" s="2"/>
      <c r="P143" s="2"/>
      <c r="R143" s="2">
        <f>SUM(M143:Q143)</f>
        <v>0</v>
      </c>
      <c r="V143" s="2">
        <f t="shared" si="25"/>
        <v>0</v>
      </c>
      <c r="X143" s="2">
        <f t="shared" si="33"/>
        <v>0</v>
      </c>
      <c r="Z143" s="13" t="b">
        <f t="shared" si="36"/>
        <v>1</v>
      </c>
      <c r="AA143" s="26" t="s">
        <v>226</v>
      </c>
    </row>
    <row r="144" spans="1:27" x14ac:dyDescent="0.25">
      <c r="A144" s="139" t="s">
        <v>162</v>
      </c>
      <c r="B144" s="141" t="s">
        <v>227</v>
      </c>
      <c r="C144" s="165" t="s">
        <v>226</v>
      </c>
      <c r="D144" s="153"/>
      <c r="E144" s="145"/>
      <c r="H144" s="1" t="str">
        <f t="shared" ref="H144:H152" si="38">+C144</f>
        <v>Útiles destinados a actividades deportivas y recreativas</v>
      </c>
      <c r="I144" s="2">
        <f t="shared" si="37"/>
        <v>0</v>
      </c>
      <c r="L144" s="2">
        <f t="shared" si="28"/>
        <v>0</v>
      </c>
      <c r="M144" s="3">
        <f t="shared" si="17"/>
        <v>0</v>
      </c>
      <c r="N144" s="2">
        <f t="shared" si="27"/>
        <v>0</v>
      </c>
      <c r="O144" s="2"/>
      <c r="P144" s="2"/>
      <c r="R144" s="2">
        <f t="shared" si="34"/>
        <v>0</v>
      </c>
      <c r="V144" s="2">
        <f t="shared" si="25"/>
        <v>0</v>
      </c>
      <c r="X144" s="2">
        <f t="shared" si="33"/>
        <v>0</v>
      </c>
      <c r="Z144" s="13" t="b">
        <f t="shared" si="36"/>
        <v>1</v>
      </c>
      <c r="AA144" s="26" t="s">
        <v>226</v>
      </c>
    </row>
    <row r="145" spans="1:27" x14ac:dyDescent="0.25">
      <c r="A145" s="139" t="s">
        <v>162</v>
      </c>
      <c r="B145" s="141" t="s">
        <v>228</v>
      </c>
      <c r="C145" s="165" t="s">
        <v>229</v>
      </c>
      <c r="D145" s="153"/>
      <c r="E145" s="145"/>
      <c r="G145" s="1" t="s">
        <v>51</v>
      </c>
      <c r="H145" s="1" t="str">
        <f t="shared" si="38"/>
        <v>Productos eléctricos y afines</v>
      </c>
      <c r="I145" s="2">
        <f t="shared" si="37"/>
        <v>0</v>
      </c>
      <c r="L145" s="2">
        <f t="shared" si="28"/>
        <v>0</v>
      </c>
      <c r="M145" s="3">
        <f t="shared" si="17"/>
        <v>0</v>
      </c>
      <c r="N145" s="2">
        <f t="shared" si="27"/>
        <v>0</v>
      </c>
      <c r="O145" s="2"/>
      <c r="P145" s="2"/>
      <c r="R145" s="2">
        <f t="shared" si="34"/>
        <v>0</v>
      </c>
      <c r="V145" s="2">
        <f t="shared" si="25"/>
        <v>0</v>
      </c>
      <c r="X145" s="2">
        <f t="shared" si="33"/>
        <v>0</v>
      </c>
      <c r="Z145" s="13" t="b">
        <f t="shared" si="36"/>
        <v>1</v>
      </c>
      <c r="AA145" s="26" t="s">
        <v>229</v>
      </c>
    </row>
    <row r="146" spans="1:27" x14ac:dyDescent="0.25">
      <c r="A146" s="139" t="s">
        <v>162</v>
      </c>
      <c r="B146" s="141" t="s">
        <v>230</v>
      </c>
      <c r="C146" s="165" t="s">
        <v>231</v>
      </c>
      <c r="D146" s="153"/>
      <c r="E146" s="145"/>
      <c r="G146" s="1" t="s">
        <v>51</v>
      </c>
      <c r="H146" s="1" t="str">
        <f t="shared" si="38"/>
        <v xml:space="preserve">Productos y utiles veterinarios </v>
      </c>
      <c r="I146" s="2">
        <f t="shared" si="37"/>
        <v>0</v>
      </c>
      <c r="L146" s="2">
        <f t="shared" si="28"/>
        <v>0</v>
      </c>
      <c r="M146" s="3">
        <f t="shared" ref="M146:M159" si="39">+I146+J146-K146-L146</f>
        <v>0</v>
      </c>
      <c r="N146" s="2">
        <f>-M146</f>
        <v>0</v>
      </c>
      <c r="O146" s="2"/>
      <c r="P146" s="2"/>
      <c r="R146" s="2">
        <f>SUM(M146:Q146)</f>
        <v>0</v>
      </c>
      <c r="V146" s="2">
        <f t="shared" si="25"/>
        <v>0</v>
      </c>
      <c r="X146" s="2">
        <f t="shared" si="33"/>
        <v>0</v>
      </c>
      <c r="Z146" s="13" t="b">
        <f t="shared" si="36"/>
        <v>1</v>
      </c>
      <c r="AA146" s="26" t="s">
        <v>231</v>
      </c>
    </row>
    <row r="147" spans="1:27" x14ac:dyDescent="0.25">
      <c r="A147" s="139" t="s">
        <v>162</v>
      </c>
      <c r="B147" s="141" t="s">
        <v>232</v>
      </c>
      <c r="C147" s="165" t="s">
        <v>233</v>
      </c>
      <c r="D147" s="153"/>
      <c r="E147" s="145"/>
      <c r="G147" s="1" t="s">
        <v>51</v>
      </c>
      <c r="H147" s="1" t="str">
        <f t="shared" si="38"/>
        <v>Otros repuestos y accesorios menores</v>
      </c>
      <c r="I147" s="2">
        <f t="shared" si="37"/>
        <v>0</v>
      </c>
      <c r="L147" s="2">
        <f t="shared" si="28"/>
        <v>0</v>
      </c>
      <c r="M147" s="3">
        <f t="shared" si="39"/>
        <v>0</v>
      </c>
      <c r="N147" s="2">
        <f t="shared" si="27"/>
        <v>0</v>
      </c>
      <c r="O147" s="2"/>
      <c r="P147" s="2"/>
      <c r="R147" s="2">
        <f t="shared" si="34"/>
        <v>0</v>
      </c>
      <c r="V147" s="2">
        <f t="shared" si="25"/>
        <v>0</v>
      </c>
      <c r="X147" s="2">
        <f t="shared" si="33"/>
        <v>0</v>
      </c>
      <c r="Z147" s="13" t="b">
        <f t="shared" si="36"/>
        <v>1</v>
      </c>
      <c r="AA147" s="26" t="s">
        <v>233</v>
      </c>
    </row>
    <row r="148" spans="1:27" x14ac:dyDescent="0.25">
      <c r="A148" s="139" t="s">
        <v>162</v>
      </c>
      <c r="B148" s="141" t="s">
        <v>234</v>
      </c>
      <c r="C148" s="165" t="s">
        <v>235</v>
      </c>
      <c r="D148" s="153"/>
      <c r="E148" s="145"/>
      <c r="G148" s="1" t="s">
        <v>51</v>
      </c>
      <c r="H148" s="1" t="str">
        <f t="shared" si="38"/>
        <v>Productos y útiles varios</v>
      </c>
      <c r="I148" s="2">
        <f t="shared" si="37"/>
        <v>0</v>
      </c>
      <c r="L148" s="2">
        <f t="shared" si="28"/>
        <v>0</v>
      </c>
      <c r="M148" s="3">
        <f t="shared" si="39"/>
        <v>0</v>
      </c>
      <c r="N148" s="2">
        <f t="shared" si="27"/>
        <v>0</v>
      </c>
      <c r="O148" s="2"/>
      <c r="P148" s="2"/>
      <c r="R148" s="2">
        <f t="shared" si="34"/>
        <v>0</v>
      </c>
      <c r="T148" s="2"/>
      <c r="U148" s="2"/>
      <c r="V148" s="2">
        <f t="shared" si="25"/>
        <v>0</v>
      </c>
      <c r="X148" s="2">
        <f t="shared" si="33"/>
        <v>0</v>
      </c>
      <c r="Z148" s="13" t="b">
        <f t="shared" si="36"/>
        <v>0</v>
      </c>
      <c r="AA148" s="26" t="s">
        <v>236</v>
      </c>
    </row>
    <row r="149" spans="1:27" x14ac:dyDescent="0.25">
      <c r="A149" s="139" t="s">
        <v>85</v>
      </c>
      <c r="B149" s="141" t="s">
        <v>237</v>
      </c>
      <c r="C149" s="165" t="s">
        <v>238</v>
      </c>
      <c r="D149" s="153"/>
      <c r="E149" s="145"/>
      <c r="G149" s="1" t="s">
        <v>51</v>
      </c>
      <c r="H149" s="1" t="str">
        <f t="shared" si="38"/>
        <v>Bonos para útiles diversos</v>
      </c>
      <c r="I149" s="2">
        <f t="shared" si="37"/>
        <v>0</v>
      </c>
      <c r="L149" s="2">
        <f t="shared" si="28"/>
        <v>0</v>
      </c>
      <c r="M149" s="3">
        <f t="shared" si="39"/>
        <v>0</v>
      </c>
      <c r="N149" s="2">
        <f t="shared" si="27"/>
        <v>0</v>
      </c>
      <c r="O149" s="2"/>
      <c r="P149" s="2"/>
      <c r="R149" s="2">
        <f t="shared" si="34"/>
        <v>0</v>
      </c>
      <c r="T149" s="2">
        <f>+N149</f>
        <v>0</v>
      </c>
      <c r="U149" s="2"/>
      <c r="V149" s="2">
        <f t="shared" si="25"/>
        <v>0</v>
      </c>
      <c r="X149" s="2">
        <f t="shared" si="33"/>
        <v>0</v>
      </c>
      <c r="Z149" s="13" t="b">
        <f t="shared" si="36"/>
        <v>1</v>
      </c>
      <c r="AA149" s="26" t="s">
        <v>238</v>
      </c>
    </row>
    <row r="150" spans="1:27" s="23" customFormat="1" x14ac:dyDescent="0.25">
      <c r="A150" s="139"/>
      <c r="B150" s="140"/>
      <c r="C150" s="165" t="s">
        <v>239</v>
      </c>
      <c r="D150" s="153"/>
      <c r="E150" s="145"/>
      <c r="F150" s="141"/>
      <c r="H150" s="23" t="str">
        <f t="shared" si="38"/>
        <v>ajustes</v>
      </c>
      <c r="I150" s="2">
        <f t="shared" si="37"/>
        <v>0</v>
      </c>
      <c r="L150" s="2">
        <f t="shared" si="28"/>
        <v>0</v>
      </c>
      <c r="M150" s="3">
        <f t="shared" si="39"/>
        <v>0</v>
      </c>
      <c r="N150" s="8">
        <f t="shared" si="27"/>
        <v>0</v>
      </c>
      <c r="O150" s="8"/>
      <c r="P150" s="8"/>
      <c r="R150" s="2">
        <f t="shared" si="34"/>
        <v>0</v>
      </c>
      <c r="T150" s="2"/>
      <c r="V150" s="2">
        <f t="shared" si="25"/>
        <v>0</v>
      </c>
      <c r="X150" s="8">
        <f t="shared" si="33"/>
        <v>0</v>
      </c>
      <c r="Z150" s="13" t="b">
        <f t="shared" si="36"/>
        <v>0</v>
      </c>
      <c r="AA150" s="27"/>
    </row>
    <row r="151" spans="1:27" x14ac:dyDescent="0.25">
      <c r="A151" s="139" t="s">
        <v>162</v>
      </c>
      <c r="B151" s="167" t="s">
        <v>240</v>
      </c>
      <c r="C151" s="165" t="s">
        <v>241</v>
      </c>
      <c r="D151" s="153"/>
      <c r="E151" s="145"/>
      <c r="H151" s="1" t="str">
        <f t="shared" si="38"/>
        <v>Minerales</v>
      </c>
      <c r="I151" s="2">
        <f t="shared" si="37"/>
        <v>0</v>
      </c>
      <c r="L151" s="2">
        <f t="shared" si="28"/>
        <v>0</v>
      </c>
      <c r="M151" s="3">
        <f t="shared" si="39"/>
        <v>0</v>
      </c>
      <c r="N151" s="2">
        <f t="shared" si="27"/>
        <v>0</v>
      </c>
      <c r="O151" s="2"/>
      <c r="P151" s="2"/>
      <c r="R151" s="2">
        <f t="shared" si="34"/>
        <v>0</v>
      </c>
      <c r="T151" s="2">
        <f>+N151</f>
        <v>0</v>
      </c>
      <c r="V151" s="2">
        <f t="shared" si="25"/>
        <v>0</v>
      </c>
      <c r="X151" s="2">
        <f t="shared" si="33"/>
        <v>0</v>
      </c>
      <c r="Z151" s="13" t="b">
        <f t="shared" si="36"/>
        <v>1</v>
      </c>
      <c r="AA151" s="26" t="s">
        <v>241</v>
      </c>
    </row>
    <row r="152" spans="1:27" x14ac:dyDescent="0.25">
      <c r="A152" s="139" t="s">
        <v>162</v>
      </c>
      <c r="B152" s="167" t="s">
        <v>242</v>
      </c>
      <c r="C152" s="165" t="s">
        <v>243</v>
      </c>
      <c r="D152" s="153"/>
      <c r="E152" s="145"/>
      <c r="G152" s="1" t="s">
        <v>51</v>
      </c>
      <c r="H152" s="1" t="str">
        <f t="shared" si="38"/>
        <v>Útiles de cocina y comedor</v>
      </c>
      <c r="I152" s="2">
        <f t="shared" si="37"/>
        <v>0</v>
      </c>
      <c r="L152" s="2">
        <f t="shared" si="28"/>
        <v>0</v>
      </c>
      <c r="M152" s="3">
        <f t="shared" si="39"/>
        <v>0</v>
      </c>
      <c r="N152" s="2">
        <f t="shared" si="27"/>
        <v>0</v>
      </c>
      <c r="O152" s="2"/>
      <c r="P152" s="2"/>
      <c r="R152" s="2">
        <f t="shared" si="34"/>
        <v>0</v>
      </c>
      <c r="T152" s="2">
        <f>+N152</f>
        <v>0</v>
      </c>
      <c r="V152" s="2">
        <f t="shared" si="25"/>
        <v>0</v>
      </c>
      <c r="X152" s="2">
        <f t="shared" si="33"/>
        <v>0</v>
      </c>
      <c r="Z152" s="13" t="b">
        <f t="shared" si="36"/>
        <v>1</v>
      </c>
      <c r="AA152" s="26" t="s">
        <v>243</v>
      </c>
    </row>
    <row r="153" spans="1:27" s="23" customFormat="1" x14ac:dyDescent="0.25">
      <c r="A153" s="139"/>
      <c r="B153" s="168"/>
      <c r="C153" s="165"/>
      <c r="D153" s="153"/>
      <c r="E153" s="145"/>
      <c r="F153" s="141"/>
      <c r="I153" s="2">
        <f t="shared" si="37"/>
        <v>0</v>
      </c>
      <c r="L153" s="2">
        <f t="shared" si="28"/>
        <v>0</v>
      </c>
      <c r="M153" s="3">
        <f t="shared" si="39"/>
        <v>0</v>
      </c>
      <c r="N153" s="8"/>
      <c r="O153" s="8"/>
      <c r="P153" s="8"/>
      <c r="R153" s="2">
        <f t="shared" si="34"/>
        <v>0</v>
      </c>
      <c r="T153" s="2">
        <f>+N153</f>
        <v>0</v>
      </c>
      <c r="V153" s="2">
        <f t="shared" si="25"/>
        <v>0</v>
      </c>
      <c r="W153" s="2">
        <f t="shared" ref="W153:W161" si="40">M153</f>
        <v>0</v>
      </c>
      <c r="X153" s="8"/>
      <c r="Z153" s="26"/>
      <c r="AA153" s="26"/>
    </row>
    <row r="154" spans="1:27" x14ac:dyDescent="0.25">
      <c r="A154" s="139" t="s">
        <v>111</v>
      </c>
      <c r="C154" s="141" t="s">
        <v>244</v>
      </c>
      <c r="D154" s="153"/>
      <c r="E154" s="145"/>
      <c r="G154" s="1" t="s">
        <v>51</v>
      </c>
      <c r="H154" s="1" t="s">
        <v>244</v>
      </c>
      <c r="I154" s="2">
        <f t="shared" si="37"/>
        <v>0</v>
      </c>
      <c r="J154" s="2"/>
      <c r="K154" s="2"/>
      <c r="L154" s="2">
        <f t="shared" si="28"/>
        <v>0</v>
      </c>
      <c r="M154" s="3">
        <f t="shared" si="39"/>
        <v>0</v>
      </c>
      <c r="N154" s="2">
        <f>-M154</f>
        <v>0</v>
      </c>
      <c r="O154" s="2"/>
      <c r="P154" s="2"/>
      <c r="R154" s="2">
        <f t="shared" si="34"/>
        <v>0</v>
      </c>
      <c r="T154" s="2"/>
      <c r="U154" s="2"/>
      <c r="V154" s="2">
        <f t="shared" si="25"/>
        <v>0</v>
      </c>
      <c r="W154" s="2"/>
      <c r="X154" s="2">
        <f>SUM(S154:W154)-N154</f>
        <v>0</v>
      </c>
    </row>
    <row r="155" spans="1:27" s="23" customFormat="1" x14ac:dyDescent="0.25">
      <c r="A155" s="139"/>
      <c r="B155" s="140"/>
      <c r="C155" s="6" t="s">
        <v>245</v>
      </c>
      <c r="D155" s="153"/>
      <c r="E155" s="145"/>
      <c r="F155" s="141"/>
      <c r="I155" s="2">
        <f t="shared" si="37"/>
        <v>0</v>
      </c>
      <c r="L155" s="2">
        <f t="shared" si="28"/>
        <v>0</v>
      </c>
      <c r="M155" s="3">
        <f t="shared" si="39"/>
        <v>0</v>
      </c>
      <c r="T155" s="2">
        <f t="shared" ref="T155:T165" si="41">+N155</f>
        <v>0</v>
      </c>
      <c r="V155" s="2">
        <f t="shared" si="25"/>
        <v>0</v>
      </c>
      <c r="W155" s="2">
        <f t="shared" si="40"/>
        <v>0</v>
      </c>
    </row>
    <row r="156" spans="1:27" x14ac:dyDescent="0.25">
      <c r="A156" s="139" t="s">
        <v>246</v>
      </c>
      <c r="B156" s="163" t="s">
        <v>247</v>
      </c>
      <c r="C156" s="141" t="s">
        <v>248</v>
      </c>
      <c r="D156" s="153"/>
      <c r="E156" s="145"/>
      <c r="G156" s="1" t="s">
        <v>51</v>
      </c>
      <c r="H156" s="1" t="str">
        <f t="shared" ref="H156:H162" si="42">+C156</f>
        <v>Ayudas y donaciones ocacionales a hogares y personas</v>
      </c>
      <c r="I156" s="2">
        <f t="shared" si="37"/>
        <v>0</v>
      </c>
      <c r="J156" s="2"/>
      <c r="K156" s="2"/>
      <c r="L156" s="2">
        <f t="shared" si="28"/>
        <v>0</v>
      </c>
      <c r="M156" s="3">
        <f t="shared" si="39"/>
        <v>0</v>
      </c>
      <c r="N156" s="2">
        <f t="shared" si="27"/>
        <v>0</v>
      </c>
      <c r="O156" s="2"/>
      <c r="P156" s="2"/>
      <c r="R156" s="2">
        <f t="shared" si="34"/>
        <v>0</v>
      </c>
      <c r="T156" s="2">
        <f t="shared" si="41"/>
        <v>0</v>
      </c>
      <c r="V156" s="2">
        <f t="shared" si="25"/>
        <v>0</v>
      </c>
      <c r="W156" s="2">
        <f t="shared" si="40"/>
        <v>0</v>
      </c>
      <c r="X156" s="2">
        <f t="shared" ref="X156:X162" si="43">SUM(S156:W156)-N156</f>
        <v>0</v>
      </c>
    </row>
    <row r="157" spans="1:27" x14ac:dyDescent="0.25">
      <c r="A157" s="139" t="s">
        <v>85</v>
      </c>
      <c r="B157" s="163" t="s">
        <v>249</v>
      </c>
      <c r="C157" s="141" t="s">
        <v>250</v>
      </c>
      <c r="D157" s="153"/>
      <c r="E157" s="145"/>
      <c r="G157" s="1" t="s">
        <v>51</v>
      </c>
      <c r="H157" s="1" t="str">
        <f t="shared" si="42"/>
        <v>Becas nacionales</v>
      </c>
      <c r="I157" s="2">
        <f t="shared" si="37"/>
        <v>0</v>
      </c>
      <c r="J157" s="2"/>
      <c r="K157" s="2"/>
      <c r="L157" s="2">
        <f t="shared" si="28"/>
        <v>0</v>
      </c>
      <c r="M157" s="3">
        <f t="shared" si="39"/>
        <v>0</v>
      </c>
      <c r="N157" s="2">
        <f t="shared" si="27"/>
        <v>0</v>
      </c>
      <c r="O157" s="2"/>
      <c r="P157" s="2"/>
      <c r="R157" s="2">
        <f t="shared" si="34"/>
        <v>0</v>
      </c>
      <c r="T157" s="2">
        <f t="shared" si="41"/>
        <v>0</v>
      </c>
      <c r="U157" s="2"/>
      <c r="V157" s="2">
        <f t="shared" si="25"/>
        <v>0</v>
      </c>
      <c r="W157" s="2">
        <f t="shared" si="40"/>
        <v>0</v>
      </c>
      <c r="X157" s="2">
        <f t="shared" si="43"/>
        <v>0</v>
      </c>
    </row>
    <row r="158" spans="1:27" x14ac:dyDescent="0.25">
      <c r="A158" s="139" t="s">
        <v>85</v>
      </c>
      <c r="B158" s="163" t="s">
        <v>251</v>
      </c>
      <c r="C158" s="141" t="s">
        <v>252</v>
      </c>
      <c r="D158" s="153"/>
      <c r="E158" s="145"/>
      <c r="H158" s="1" t="str">
        <f t="shared" si="42"/>
        <v>Becas extranjeras</v>
      </c>
      <c r="I158" s="2">
        <f t="shared" si="37"/>
        <v>0</v>
      </c>
      <c r="J158" s="2"/>
      <c r="K158" s="2"/>
      <c r="L158" s="2">
        <f t="shared" si="28"/>
        <v>0</v>
      </c>
      <c r="M158" s="3">
        <f t="shared" si="39"/>
        <v>0</v>
      </c>
      <c r="N158" s="2">
        <f t="shared" si="27"/>
        <v>0</v>
      </c>
      <c r="O158" s="2"/>
      <c r="P158" s="2"/>
      <c r="R158" s="2">
        <f t="shared" si="34"/>
        <v>0</v>
      </c>
      <c r="T158" s="2">
        <f t="shared" si="41"/>
        <v>0</v>
      </c>
      <c r="U158" s="2"/>
      <c r="V158" s="2">
        <f t="shared" si="25"/>
        <v>0</v>
      </c>
      <c r="W158" s="2">
        <f t="shared" si="40"/>
        <v>0</v>
      </c>
      <c r="X158" s="2">
        <f t="shared" si="43"/>
        <v>0</v>
      </c>
    </row>
    <row r="159" spans="1:27" x14ac:dyDescent="0.25">
      <c r="A159" s="139" t="s">
        <v>246</v>
      </c>
      <c r="B159" s="163" t="s">
        <v>253</v>
      </c>
      <c r="C159" s="141" t="s">
        <v>254</v>
      </c>
      <c r="D159" s="153">
        <v>50000</v>
      </c>
      <c r="E159" s="145"/>
      <c r="G159" s="1" t="s">
        <v>51</v>
      </c>
      <c r="H159" s="1" t="str">
        <f t="shared" si="42"/>
        <v>Transferencias corrientes a asociaciones sin fines de lucro</v>
      </c>
      <c r="I159" s="2">
        <f t="shared" si="37"/>
        <v>50000</v>
      </c>
      <c r="J159" s="2"/>
      <c r="K159" s="2"/>
      <c r="L159" s="2">
        <f t="shared" si="28"/>
        <v>0</v>
      </c>
      <c r="M159" s="3">
        <f t="shared" si="39"/>
        <v>50000</v>
      </c>
      <c r="N159" s="2">
        <f t="shared" si="27"/>
        <v>-50000</v>
      </c>
      <c r="O159" s="2"/>
      <c r="P159" s="2"/>
      <c r="R159" s="2">
        <f t="shared" si="34"/>
        <v>0</v>
      </c>
      <c r="T159" s="2"/>
      <c r="V159" s="2"/>
      <c r="W159" s="2"/>
      <c r="X159" s="2"/>
    </row>
    <row r="160" spans="1:27" x14ac:dyDescent="0.25">
      <c r="A160" s="139" t="s">
        <v>255</v>
      </c>
      <c r="B160" s="169"/>
      <c r="C160" s="170" t="s">
        <v>256</v>
      </c>
      <c r="D160" s="158">
        <v>2065636.84</v>
      </c>
      <c r="E160" s="145"/>
      <c r="H160" s="1" t="str">
        <f t="shared" si="42"/>
        <v>Gasto de depreciación</v>
      </c>
      <c r="I160" s="2">
        <f t="shared" si="37"/>
        <v>2065636.84</v>
      </c>
      <c r="J160" s="21"/>
      <c r="K160" s="2"/>
      <c r="L160" s="2">
        <f t="shared" si="28"/>
        <v>0</v>
      </c>
      <c r="M160" s="3"/>
      <c r="N160" s="2"/>
      <c r="O160" s="2"/>
      <c r="P160" s="2"/>
      <c r="R160" s="2"/>
      <c r="T160" s="2"/>
      <c r="V160" s="2"/>
      <c r="W160" s="2"/>
      <c r="X160" s="2"/>
    </row>
    <row r="161" spans="1:24" x14ac:dyDescent="0.25">
      <c r="A161" s="139" t="s">
        <v>255</v>
      </c>
      <c r="B161" s="169"/>
      <c r="C161" s="170" t="s">
        <v>257</v>
      </c>
      <c r="D161" s="153"/>
      <c r="E161" s="145"/>
      <c r="H161" s="1" t="str">
        <f t="shared" si="42"/>
        <v>Gasto de amortización</v>
      </c>
      <c r="I161" s="2">
        <f t="shared" si="37"/>
        <v>0</v>
      </c>
      <c r="J161" s="2"/>
      <c r="K161" s="2"/>
      <c r="L161" s="2">
        <f t="shared" si="28"/>
        <v>0</v>
      </c>
      <c r="M161" s="3">
        <f>+I161+J161-K161-L161</f>
        <v>0</v>
      </c>
      <c r="N161" s="2">
        <f t="shared" si="27"/>
        <v>0</v>
      </c>
      <c r="O161" s="2"/>
      <c r="P161" s="2"/>
      <c r="R161" s="2">
        <f>SUM(M161:Q161)</f>
        <v>0</v>
      </c>
      <c r="T161" s="2">
        <f t="shared" si="41"/>
        <v>0</v>
      </c>
      <c r="V161" s="2">
        <f t="shared" si="25"/>
        <v>0</v>
      </c>
      <c r="W161" s="2">
        <f t="shared" si="40"/>
        <v>0</v>
      </c>
      <c r="X161" s="2">
        <f t="shared" si="43"/>
        <v>0</v>
      </c>
    </row>
    <row r="162" spans="1:24" x14ac:dyDescent="0.25">
      <c r="A162" s="139" t="s">
        <v>111</v>
      </c>
      <c r="C162" s="141" t="s">
        <v>258</v>
      </c>
      <c r="D162" s="20"/>
      <c r="E162" s="145"/>
      <c r="H162" s="1" t="str">
        <f t="shared" si="42"/>
        <v>Pérdida por retiro</v>
      </c>
      <c r="I162" s="2">
        <f t="shared" si="37"/>
        <v>0</v>
      </c>
      <c r="J162" s="2"/>
      <c r="K162" s="2"/>
      <c r="L162" s="2">
        <f t="shared" si="28"/>
        <v>0</v>
      </c>
      <c r="M162" s="3">
        <f>+I162+J162-K162-L162</f>
        <v>0</v>
      </c>
      <c r="N162" s="2">
        <f t="shared" si="27"/>
        <v>0</v>
      </c>
      <c r="O162" s="2"/>
      <c r="P162" s="2"/>
      <c r="R162" s="2">
        <f>SUM(M162:Q162)</f>
        <v>0</v>
      </c>
      <c r="T162" s="2">
        <f t="shared" si="41"/>
        <v>0</v>
      </c>
      <c r="V162" s="2"/>
      <c r="X162" s="2">
        <f t="shared" si="43"/>
        <v>0</v>
      </c>
    </row>
    <row r="163" spans="1:24" x14ac:dyDescent="0.25">
      <c r="C163" s="6"/>
      <c r="D163" s="20"/>
      <c r="E163" s="145">
        <f>+D159+D105+D85+D58+D45</f>
        <v>14966709.02</v>
      </c>
      <c r="I163" s="2">
        <f t="shared" si="37"/>
        <v>0</v>
      </c>
      <c r="J163" s="2"/>
      <c r="K163" s="2"/>
      <c r="L163" s="2"/>
      <c r="M163" s="3"/>
      <c r="N163" s="2"/>
      <c r="O163" s="2"/>
      <c r="P163" s="2"/>
      <c r="R163" s="2"/>
      <c r="T163" s="2">
        <f t="shared" si="41"/>
        <v>0</v>
      </c>
      <c r="V163" s="2"/>
      <c r="X163" s="2"/>
    </row>
    <row r="164" spans="1:24" s="23" customFormat="1" x14ac:dyDescent="0.25">
      <c r="A164" s="139"/>
      <c r="B164" s="140"/>
      <c r="C164" s="6" t="s">
        <v>259</v>
      </c>
      <c r="D164" s="171"/>
      <c r="E164" s="145"/>
      <c r="F164" s="154"/>
      <c r="H164" s="23" t="s">
        <v>260</v>
      </c>
      <c r="I164" s="2">
        <f t="shared" si="37"/>
        <v>0</v>
      </c>
      <c r="J164" s="8">
        <f>+K31</f>
        <v>0</v>
      </c>
      <c r="K164" s="8"/>
      <c r="L164" s="8"/>
      <c r="M164" s="18">
        <f>I164+J164+K164-L164</f>
        <v>0</v>
      </c>
      <c r="N164" s="8">
        <f t="shared" si="27"/>
        <v>0</v>
      </c>
      <c r="O164" s="8"/>
      <c r="P164" s="8"/>
      <c r="R164" s="8">
        <f>SUM(M164:Q164)</f>
        <v>0</v>
      </c>
      <c r="T164" s="2"/>
      <c r="V164" s="2"/>
      <c r="X164" s="8">
        <f>SUM(S164:W164)-N164</f>
        <v>0</v>
      </c>
    </row>
    <row r="165" spans="1:24" x14ac:dyDescent="0.25">
      <c r="D165" s="20"/>
      <c r="E165" s="145"/>
      <c r="I165" s="2">
        <f t="shared" si="37"/>
        <v>0</v>
      </c>
      <c r="L165" s="2"/>
      <c r="T165" s="2">
        <f t="shared" si="41"/>
        <v>0</v>
      </c>
      <c r="V165" s="2">
        <f t="shared" si="25"/>
        <v>0</v>
      </c>
      <c r="X165" s="2">
        <f>SUM(S165:W165)-N165</f>
        <v>0</v>
      </c>
    </row>
    <row r="166" spans="1:24" x14ac:dyDescent="0.25">
      <c r="D166" s="20"/>
      <c r="E166" s="145"/>
      <c r="I166" s="2">
        <f t="shared" si="37"/>
        <v>0</v>
      </c>
      <c r="L166" s="2"/>
      <c r="V166" s="2">
        <f t="shared" si="25"/>
        <v>0</v>
      </c>
    </row>
    <row r="167" spans="1:24" x14ac:dyDescent="0.25">
      <c r="C167" s="141" t="s">
        <v>261</v>
      </c>
      <c r="D167" s="20"/>
      <c r="E167" s="145"/>
      <c r="I167" s="2">
        <f t="shared" si="37"/>
        <v>0</v>
      </c>
      <c r="L167" s="2"/>
      <c r="V167" s="2">
        <f t="shared" ref="V167:V180" si="44">+N167</f>
        <v>0</v>
      </c>
    </row>
    <row r="168" spans="1:24" x14ac:dyDescent="0.25">
      <c r="C168" s="172" t="s">
        <v>0</v>
      </c>
      <c r="D168" s="145"/>
      <c r="E168" s="145">
        <f>+SUBTOTAL(9,E12:E161)</f>
        <v>236393922.78999996</v>
      </c>
      <c r="I168" s="2">
        <f t="shared" si="37"/>
        <v>0</v>
      </c>
      <c r="L168" s="2"/>
      <c r="V168" s="2">
        <f t="shared" si="44"/>
        <v>0</v>
      </c>
    </row>
    <row r="169" spans="1:24" x14ac:dyDescent="0.25">
      <c r="C169" s="172"/>
      <c r="D169" s="20"/>
      <c r="E169" s="145"/>
      <c r="I169" s="2">
        <f t="shared" si="37"/>
        <v>0</v>
      </c>
      <c r="L169" s="2"/>
      <c r="V169" s="2">
        <f t="shared" si="44"/>
        <v>0</v>
      </c>
    </row>
    <row r="170" spans="1:24" x14ac:dyDescent="0.25">
      <c r="C170" s="172"/>
      <c r="D170" s="20"/>
      <c r="E170" s="145"/>
      <c r="I170" s="2">
        <f t="shared" si="37"/>
        <v>0</v>
      </c>
      <c r="L170" s="2"/>
      <c r="V170" s="2">
        <f t="shared" si="44"/>
        <v>0</v>
      </c>
    </row>
    <row r="171" spans="1:24" x14ac:dyDescent="0.25">
      <c r="C171" s="172"/>
      <c r="D171" s="20"/>
      <c r="E171" s="145"/>
      <c r="I171" s="2">
        <f t="shared" si="37"/>
        <v>0</v>
      </c>
      <c r="L171" s="2"/>
      <c r="V171" s="2">
        <f t="shared" si="44"/>
        <v>0</v>
      </c>
    </row>
    <row r="172" spans="1:24" x14ac:dyDescent="0.25">
      <c r="C172" s="172"/>
      <c r="D172" s="20"/>
      <c r="E172" s="145"/>
      <c r="I172" s="2">
        <f t="shared" si="37"/>
        <v>0</v>
      </c>
      <c r="L172" s="2"/>
      <c r="V172" s="2">
        <f t="shared" si="44"/>
        <v>0</v>
      </c>
    </row>
    <row r="173" spans="1:24" x14ac:dyDescent="0.25">
      <c r="C173" s="172"/>
      <c r="D173" s="20"/>
      <c r="E173" s="145"/>
      <c r="I173" s="2">
        <f t="shared" si="37"/>
        <v>0</v>
      </c>
      <c r="L173" s="2"/>
      <c r="V173" s="2">
        <f t="shared" si="44"/>
        <v>0</v>
      </c>
    </row>
    <row r="174" spans="1:24" x14ac:dyDescent="0.25">
      <c r="C174" s="172"/>
      <c r="D174" s="20"/>
      <c r="E174" s="145"/>
      <c r="I174" s="2"/>
      <c r="L174" s="2"/>
      <c r="V174" s="2">
        <f t="shared" si="44"/>
        <v>0</v>
      </c>
    </row>
    <row r="175" spans="1:24" x14ac:dyDescent="0.25">
      <c r="C175" s="172"/>
      <c r="D175" s="20"/>
      <c r="E175" s="145"/>
      <c r="I175" s="2"/>
      <c r="L175" s="2"/>
      <c r="V175" s="2">
        <f t="shared" si="44"/>
        <v>0</v>
      </c>
    </row>
    <row r="176" spans="1:24" x14ac:dyDescent="0.25">
      <c r="C176" s="172"/>
      <c r="D176" s="20"/>
      <c r="E176" s="145"/>
      <c r="I176" s="2"/>
      <c r="L176" s="2"/>
      <c r="V176" s="2">
        <f t="shared" si="44"/>
        <v>0</v>
      </c>
    </row>
    <row r="177" spans="3:22" x14ac:dyDescent="0.25">
      <c r="C177" s="172"/>
      <c r="D177" s="20"/>
      <c r="E177" s="145"/>
      <c r="I177" s="2"/>
      <c r="L177" s="2"/>
      <c r="V177" s="2">
        <f t="shared" si="44"/>
        <v>0</v>
      </c>
    </row>
    <row r="178" spans="3:22" x14ac:dyDescent="0.25">
      <c r="C178" s="172"/>
      <c r="D178" s="20"/>
      <c r="E178" s="145"/>
      <c r="I178" s="2"/>
      <c r="L178" s="2"/>
      <c r="V178" s="2">
        <f t="shared" si="44"/>
        <v>0</v>
      </c>
    </row>
    <row r="179" spans="3:22" x14ac:dyDescent="0.25">
      <c r="C179" s="172"/>
      <c r="D179" s="20"/>
      <c r="E179" s="145"/>
      <c r="I179" s="2"/>
      <c r="L179" s="2"/>
      <c r="V179" s="2">
        <f t="shared" si="44"/>
        <v>0</v>
      </c>
    </row>
    <row r="180" spans="3:22" x14ac:dyDescent="0.25">
      <c r="C180" s="172"/>
      <c r="D180" s="20"/>
      <c r="E180" s="145"/>
      <c r="I180" s="2"/>
      <c r="L180" s="2"/>
      <c r="V180" s="2">
        <f t="shared" si="44"/>
        <v>0</v>
      </c>
    </row>
    <row r="181" spans="3:22" x14ac:dyDescent="0.25">
      <c r="C181" s="172"/>
      <c r="D181" s="20"/>
      <c r="E181" s="145"/>
      <c r="I181" s="2"/>
      <c r="L181" s="2"/>
    </row>
    <row r="182" spans="3:22" x14ac:dyDescent="0.25">
      <c r="C182" s="172"/>
      <c r="D182" s="20"/>
      <c r="E182" s="145"/>
      <c r="I182" s="2"/>
      <c r="L182" s="2"/>
    </row>
    <row r="183" spans="3:22" x14ac:dyDescent="0.25">
      <c r="C183" s="172"/>
      <c r="D183" s="20"/>
      <c r="E183" s="145"/>
      <c r="I183" s="2"/>
      <c r="L183" s="2"/>
    </row>
    <row r="184" spans="3:22" x14ac:dyDescent="0.25">
      <c r="C184" s="172"/>
      <c r="D184" s="20"/>
      <c r="E184" s="145"/>
      <c r="I184" s="2"/>
      <c r="L184" s="2"/>
    </row>
    <row r="185" spans="3:22" x14ac:dyDescent="0.25">
      <c r="C185" s="172"/>
      <c r="D185" s="20"/>
      <c r="E185" s="145"/>
      <c r="I185" s="2"/>
      <c r="L185" s="2"/>
    </row>
    <row r="186" spans="3:22" x14ac:dyDescent="0.25">
      <c r="C186" s="172"/>
      <c r="D186" s="20"/>
      <c r="E186" s="145"/>
      <c r="I186" s="2"/>
      <c r="L186" s="2"/>
    </row>
    <row r="187" spans="3:22" x14ac:dyDescent="0.25">
      <c r="C187" s="172"/>
      <c r="D187" s="20"/>
      <c r="E187" s="145"/>
      <c r="I187" s="2"/>
      <c r="L187" s="2"/>
    </row>
    <row r="188" spans="3:22" x14ac:dyDescent="0.25">
      <c r="C188" s="172"/>
      <c r="D188" s="20"/>
      <c r="E188" s="145"/>
      <c r="I188" s="2"/>
      <c r="L188" s="2"/>
    </row>
    <row r="189" spans="3:22" x14ac:dyDescent="0.25">
      <c r="C189" s="172"/>
      <c r="D189" s="20"/>
      <c r="E189" s="145"/>
      <c r="I189" s="2"/>
      <c r="L189" s="2"/>
    </row>
    <row r="190" spans="3:22" x14ac:dyDescent="0.25">
      <c r="C190" s="172"/>
      <c r="D190" s="20"/>
      <c r="E190" s="145"/>
      <c r="I190" s="2"/>
      <c r="L190" s="2"/>
    </row>
    <row r="191" spans="3:22" x14ac:dyDescent="0.25">
      <c r="C191" s="172"/>
      <c r="D191" s="20"/>
      <c r="E191" s="145"/>
      <c r="I191" s="2"/>
      <c r="L191" s="2"/>
    </row>
    <row r="192" spans="3:22" x14ac:dyDescent="0.25">
      <c r="C192" s="172"/>
      <c r="D192" s="20"/>
      <c r="E192" s="145"/>
      <c r="I192" s="2"/>
      <c r="L192" s="2"/>
    </row>
    <row r="193" spans="3:12" x14ac:dyDescent="0.25">
      <c r="C193" s="172"/>
      <c r="D193" s="20"/>
      <c r="E193" s="145"/>
      <c r="I193" s="2"/>
      <c r="L193" s="2"/>
    </row>
    <row r="194" spans="3:12" x14ac:dyDescent="0.25">
      <c r="C194" s="172"/>
      <c r="D194" s="20"/>
      <c r="E194" s="145"/>
      <c r="I194" s="2"/>
      <c r="L194" s="2"/>
    </row>
    <row r="195" spans="3:12" x14ac:dyDescent="0.25">
      <c r="C195" s="172"/>
      <c r="D195" s="20"/>
      <c r="E195" s="145"/>
      <c r="I195" s="2"/>
      <c r="L195" s="2"/>
    </row>
    <row r="196" spans="3:12" x14ac:dyDescent="0.25">
      <c r="C196" s="172"/>
      <c r="D196" s="20"/>
      <c r="E196" s="145"/>
      <c r="I196" s="2"/>
      <c r="L196" s="2"/>
    </row>
    <row r="197" spans="3:12" x14ac:dyDescent="0.25">
      <c r="C197" s="172"/>
      <c r="D197" s="20"/>
      <c r="E197" s="145"/>
      <c r="I197" s="2"/>
      <c r="L197" s="2"/>
    </row>
    <row r="198" spans="3:12" x14ac:dyDescent="0.25">
      <c r="C198" s="172"/>
      <c r="D198" s="20"/>
      <c r="E198" s="145"/>
      <c r="I198" s="2"/>
      <c r="L198" s="2"/>
    </row>
    <row r="199" spans="3:12" x14ac:dyDescent="0.25">
      <c r="C199" s="172"/>
      <c r="D199" s="20"/>
      <c r="E199" s="145"/>
      <c r="I199" s="2"/>
      <c r="L199" s="2"/>
    </row>
    <row r="200" spans="3:12" x14ac:dyDescent="0.25">
      <c r="C200" s="172"/>
      <c r="D200" s="20"/>
      <c r="E200" s="20"/>
      <c r="I200" s="2"/>
      <c r="L200" s="2"/>
    </row>
    <row r="201" spans="3:12" x14ac:dyDescent="0.25">
      <c r="C201" s="172"/>
      <c r="D201" s="20"/>
      <c r="E201" s="20"/>
      <c r="I201" s="2"/>
      <c r="L201" s="2"/>
    </row>
  </sheetData>
  <autoFilter ref="A11:X164" xr:uid="{00000000-0009-0000-0000-00000A000000}"/>
  <mergeCells count="11">
    <mergeCell ref="S8:W8"/>
    <mergeCell ref="J10:K10"/>
    <mergeCell ref="C5:E5"/>
    <mergeCell ref="H5:K5"/>
    <mergeCell ref="R5:R10"/>
    <mergeCell ref="C6:E6"/>
    <mergeCell ref="H6:K6"/>
    <mergeCell ref="C7:E7"/>
    <mergeCell ref="H7:K7"/>
    <mergeCell ref="C8:E8"/>
    <mergeCell ref="H8:K8"/>
  </mergeCells>
  <pageMargins left="0.7" right="0.7" top="0.75" bottom="0.75" header="0.3" footer="0.3"/>
  <pageSetup orientation="landscape" r:id="rId1"/>
  <headerFooter>
    <oddFooter>&amp;C&amp;P de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6A77C9-E635-4FAC-8F13-5605AF3FB3C7}">
  <sheetPr filterMode="1"/>
  <dimension ref="A1:N46"/>
  <sheetViews>
    <sheetView view="pageBreakPreview" topLeftCell="C8" zoomScaleSheetLayoutView="100" workbookViewId="0">
      <selection activeCell="F14" sqref="F14:F21"/>
    </sheetView>
  </sheetViews>
  <sheetFormatPr baseColWidth="10" defaultColWidth="11.42578125" defaultRowHeight="15" x14ac:dyDescent="0.25"/>
  <cols>
    <col min="1" max="1" width="5.42578125" style="28" hidden="1" customWidth="1"/>
    <col min="2" max="2" width="3.7109375" style="29" hidden="1" customWidth="1"/>
    <col min="3" max="3" width="57.42578125" style="29" customWidth="1"/>
    <col min="4" max="4" width="21.7109375" style="29" customWidth="1"/>
    <col min="5" max="5" width="5.7109375" style="29" customWidth="1"/>
    <col min="6" max="6" width="20" style="29" customWidth="1"/>
    <col min="7" max="7" width="4.85546875" style="29" customWidth="1"/>
    <col min="8" max="8" width="20.5703125" style="29" hidden="1" customWidth="1"/>
    <col min="9" max="9" width="3.7109375" style="29" customWidth="1"/>
    <col min="10" max="10" width="19.85546875" style="29" customWidth="1"/>
    <col min="11" max="11" width="14.85546875" style="29" hidden="1" customWidth="1"/>
    <col min="12" max="12" width="15.85546875" style="29" bestFit="1" customWidth="1"/>
    <col min="13" max="13" width="14.140625" style="29" bestFit="1" customWidth="1"/>
    <col min="14" max="16384" width="11.42578125" style="30"/>
  </cols>
  <sheetData>
    <row r="1" spans="1:14" ht="117.75" customHeight="1" x14ac:dyDescent="0.25">
      <c r="C1" s="180" t="str">
        <f>'[3] ERF-Rendimiento Financiero'!C3</f>
        <v>Estado de Rendimiento Financiero</v>
      </c>
      <c r="D1" s="180"/>
      <c r="E1" s="180"/>
      <c r="F1" s="180"/>
      <c r="G1" s="180"/>
      <c r="H1" s="180"/>
    </row>
    <row r="2" spans="1:14" ht="15" customHeight="1" x14ac:dyDescent="0.25">
      <c r="C2" s="178" t="s">
        <v>358</v>
      </c>
      <c r="D2" s="178"/>
      <c r="E2" s="178"/>
      <c r="F2" s="178"/>
      <c r="G2" s="178"/>
      <c r="H2" s="31"/>
    </row>
    <row r="3" spans="1:14" ht="15" customHeight="1" x14ac:dyDescent="0.25">
      <c r="C3" s="178" t="str">
        <f>'[3] ERF-Rendimiento Financiero'!C5</f>
        <v>(Valores en RD$)</v>
      </c>
      <c r="D3" s="178"/>
      <c r="E3" s="178"/>
      <c r="F3" s="178"/>
      <c r="G3" s="178"/>
      <c r="H3" s="178"/>
    </row>
    <row r="4" spans="1:14" ht="15" customHeight="1" x14ac:dyDescent="0.25">
      <c r="C4" s="32"/>
      <c r="D4" s="32"/>
      <c r="E4" s="32"/>
      <c r="F4" s="33"/>
      <c r="G4" s="33"/>
      <c r="H4" s="33"/>
    </row>
    <row r="5" spans="1:14" ht="36" customHeight="1" x14ac:dyDescent="0.25">
      <c r="C5" s="33"/>
      <c r="D5" s="33"/>
      <c r="E5" s="33"/>
      <c r="F5" s="34"/>
      <c r="G5" s="34"/>
      <c r="H5" s="34">
        <f>+'[1]ESF - Situación Financiera'!H19</f>
        <v>2021</v>
      </c>
    </row>
    <row r="6" spans="1:14" ht="15.75" x14ac:dyDescent="0.25">
      <c r="C6" s="32" t="s">
        <v>262</v>
      </c>
      <c r="D6" s="32"/>
      <c r="E6" s="32"/>
      <c r="F6" s="35"/>
      <c r="G6" s="36"/>
      <c r="H6" s="37"/>
      <c r="K6" s="38"/>
    </row>
    <row r="7" spans="1:14" hidden="1" x14ac:dyDescent="0.25">
      <c r="A7" s="28" t="s">
        <v>263</v>
      </c>
      <c r="C7" s="29" t="s">
        <v>264</v>
      </c>
      <c r="F7" s="38" t="e">
        <f>-SUMIF('[1]BC Balance Comprobación'!A:A,' ERF-Rendimiento Financiero'!A7,'[1]BC Balance Comprobación'!D:D)</f>
        <v>#VALUE!</v>
      </c>
      <c r="G7" s="38"/>
      <c r="H7" s="38" t="e">
        <f>-SUMIF('[1]BC Balance Comprobación'!A:A,' ERF-Rendimiento Financiero'!A7,'[1]BC Balance Comprobación'!F:F)</f>
        <v>#VALUE!</v>
      </c>
      <c r="K7" s="38" t="e">
        <f>+F7+H7</f>
        <v>#VALUE!</v>
      </c>
    </row>
    <row r="8" spans="1:14" ht="15.75" x14ac:dyDescent="0.25">
      <c r="A8" s="28" t="s">
        <v>75</v>
      </c>
      <c r="C8" s="33" t="s">
        <v>265</v>
      </c>
      <c r="D8" s="33"/>
      <c r="E8" s="33"/>
      <c r="F8" s="35">
        <f>-'BC Balance Comprobación'!D37</f>
        <v>625500</v>
      </c>
      <c r="G8" s="35"/>
      <c r="H8" s="35" t="e">
        <f>-SUMIF('[1]BC Balance Comprobación'!A:A,' ERF-Rendimiento Financiero'!A8,'[1]BC Balance Comprobación'!F:F)</f>
        <v>#VALUE!</v>
      </c>
      <c r="K8" s="38" t="e">
        <f>+F8+H8</f>
        <v>#VALUE!</v>
      </c>
    </row>
    <row r="9" spans="1:14" ht="15.75" x14ac:dyDescent="0.25">
      <c r="A9" s="28" t="s">
        <v>77</v>
      </c>
      <c r="C9" s="33" t="s">
        <v>78</v>
      </c>
      <c r="D9" s="33"/>
      <c r="E9" s="33"/>
      <c r="F9" s="35">
        <f>-'BC Balance Comprobación'!D38</f>
        <v>15685277.5</v>
      </c>
      <c r="G9" s="35"/>
      <c r="H9" s="35" t="e">
        <f>-SUMIF('[1]BC Balance Comprobación'!A:A,' ERF-Rendimiento Financiero'!A9,'[1]BC Balance Comprobación'!F:F)</f>
        <v>#VALUE!</v>
      </c>
      <c r="K9" s="38" t="e">
        <f>+F9+H9</f>
        <v>#VALUE!</v>
      </c>
    </row>
    <row r="10" spans="1:14" ht="15.75" x14ac:dyDescent="0.25">
      <c r="A10" s="28" t="s">
        <v>80</v>
      </c>
      <c r="C10" s="33" t="s">
        <v>266</v>
      </c>
      <c r="D10" s="33"/>
      <c r="E10" s="33"/>
      <c r="F10" s="39">
        <v>0</v>
      </c>
      <c r="G10" s="35"/>
      <c r="H10" s="39" t="e">
        <f>-SUMIF('[1]BC Balance Comprobación'!A:A,' ERF-Rendimiento Financiero'!A10,'[1]BC Balance Comprobación'!F:F)</f>
        <v>#VALUE!</v>
      </c>
      <c r="K10" s="38" t="e">
        <f>+F10+H10</f>
        <v>#VALUE!</v>
      </c>
    </row>
    <row r="11" spans="1:14" ht="15.75" x14ac:dyDescent="0.25">
      <c r="C11" s="31" t="s">
        <v>267</v>
      </c>
      <c r="D11" s="31"/>
      <c r="E11" s="31"/>
      <c r="F11" s="40">
        <f>F8+F9+F10</f>
        <v>16310777.5</v>
      </c>
      <c r="G11" s="41"/>
      <c r="H11" s="40" t="e">
        <f>SUM(H7:H10)</f>
        <v>#VALUE!</v>
      </c>
      <c r="K11" s="38" t="e">
        <f>+F11+H11</f>
        <v>#VALUE!</v>
      </c>
      <c r="L11" s="42"/>
    </row>
    <row r="12" spans="1:14" ht="18.75" customHeight="1" x14ac:dyDescent="0.25">
      <c r="C12" s="33" t="s">
        <v>261</v>
      </c>
      <c r="D12" s="33"/>
      <c r="E12" s="33"/>
      <c r="F12" s="35"/>
      <c r="G12" s="35"/>
      <c r="H12" s="35"/>
    </row>
    <row r="13" spans="1:14" ht="15.75" x14ac:dyDescent="0.25">
      <c r="C13" s="31" t="s">
        <v>268</v>
      </c>
      <c r="D13" s="31"/>
      <c r="E13" s="31"/>
      <c r="F13" s="43"/>
      <c r="G13" s="43"/>
      <c r="H13" s="43"/>
      <c r="K13" s="38"/>
    </row>
    <row r="14" spans="1:14" ht="15.75" x14ac:dyDescent="0.25">
      <c r="A14" s="28" t="s">
        <v>85</v>
      </c>
      <c r="C14" s="33" t="s">
        <v>269</v>
      </c>
      <c r="D14" s="33"/>
      <c r="E14" s="33"/>
      <c r="F14" s="44">
        <f>'BC Balance Comprobación'!D45+'BC Balance Comprobación'!D58</f>
        <v>10524381.870000001</v>
      </c>
      <c r="G14" s="35"/>
      <c r="H14" s="35" t="e">
        <f>SUMIF('[1]BC Balance Comprobación'!A:A,' ERF-Rendimiento Financiero'!A14,'[1]BC Balance Comprobación'!F:F)</f>
        <v>#VALUE!</v>
      </c>
      <c r="J14" s="38"/>
      <c r="K14" s="38" t="e">
        <f t="shared" ref="K14:K25" si="0">+F14+H14</f>
        <v>#VALUE!</v>
      </c>
      <c r="L14" s="38"/>
      <c r="M14" s="38"/>
    </row>
    <row r="15" spans="1:14" ht="15.75" x14ac:dyDescent="0.25">
      <c r="A15" s="28" t="s">
        <v>246</v>
      </c>
      <c r="C15" s="29" t="s">
        <v>270</v>
      </c>
      <c r="F15" s="35">
        <f>'BC Balance Comprobación'!D159</f>
        <v>50000</v>
      </c>
      <c r="G15" s="38"/>
      <c r="H15" s="38" t="e">
        <f>SUMIF('[1]BC Balance Comprobación'!A:A,' ERF-Rendimiento Financiero'!A15,'[1]BC Balance Comprobación'!F:F)</f>
        <v>#VALUE!</v>
      </c>
      <c r="K15" s="38" t="e">
        <f t="shared" si="0"/>
        <v>#VALUE!</v>
      </c>
    </row>
    <row r="16" spans="1:14" ht="15.75" x14ac:dyDescent="0.25">
      <c r="A16" s="28" t="s">
        <v>162</v>
      </c>
      <c r="C16" s="33" t="s">
        <v>271</v>
      </c>
      <c r="D16" s="33"/>
      <c r="E16" s="33"/>
      <c r="F16" s="35">
        <f>'BC Balance Comprobación'!D105+'BC Balance Comprobación'!D85</f>
        <v>4392327.1500000004</v>
      </c>
      <c r="G16" s="35"/>
      <c r="H16" s="35" t="e">
        <f>SUMIF('[1]BC Balance Comprobación'!A:A,' ERF-Rendimiento Financiero'!A16,'[1]BC Balance Comprobación'!F:F)</f>
        <v>#VALUE!</v>
      </c>
      <c r="J16" s="42"/>
      <c r="K16" s="38" t="e">
        <f t="shared" si="0"/>
        <v>#VALUE!</v>
      </c>
      <c r="L16" s="45"/>
      <c r="M16" s="42"/>
      <c r="N16" s="46"/>
    </row>
    <row r="17" spans="1:14" ht="15.75" x14ac:dyDescent="0.25">
      <c r="A17" s="28" t="s">
        <v>255</v>
      </c>
      <c r="C17" s="33" t="s">
        <v>272</v>
      </c>
      <c r="D17" s="33"/>
      <c r="E17" s="33"/>
      <c r="F17" s="137">
        <f>'BC Balance Comprobación'!D160</f>
        <v>2065636.84</v>
      </c>
      <c r="G17" s="35"/>
      <c r="H17" s="35" t="e">
        <f>SUMIF('[1]BC Balance Comprobación'!A:A,' ERF-Rendimiento Financiero'!A17,'[1]BC Balance Comprobación'!F:F)</f>
        <v>#VALUE!</v>
      </c>
      <c r="J17" s="38"/>
      <c r="K17" s="38" t="e">
        <f t="shared" si="0"/>
        <v>#VALUE!</v>
      </c>
    </row>
    <row r="18" spans="1:14" hidden="1" x14ac:dyDescent="0.25">
      <c r="A18" s="28" t="s">
        <v>273</v>
      </c>
      <c r="C18" s="29" t="s">
        <v>274</v>
      </c>
      <c r="F18" s="38" t="e">
        <f>SUMIF('[1]BC Balance Comprobación'!A:A,' ERF-Rendimiento Financiero'!A18,'[1]BC Balance Comprobación'!D:D)</f>
        <v>#VALUE!</v>
      </c>
      <c r="G18" s="38"/>
      <c r="H18" s="38" t="e">
        <f>SUMIF('[1]BC Balance Comprobación'!A:A,' ERF-Rendimiento Financiero'!A18,'[1]BC Balance Comprobación'!F:F)</f>
        <v>#VALUE!</v>
      </c>
      <c r="K18" s="38" t="e">
        <f t="shared" si="0"/>
        <v>#VALUE!</v>
      </c>
    </row>
    <row r="19" spans="1:14" ht="15.75" hidden="1" x14ac:dyDescent="0.25">
      <c r="A19" s="28" t="s">
        <v>111</v>
      </c>
      <c r="C19" s="33" t="s">
        <v>275</v>
      </c>
      <c r="D19" s="33"/>
      <c r="E19" s="33"/>
      <c r="F19" s="39">
        <f>'[1]BC Balance Comprobación'!D153</f>
        <v>0</v>
      </c>
      <c r="G19" s="35"/>
      <c r="H19" s="39" t="e">
        <f>SUMIF('[1]BC Balance Comprobación'!A:A,' ERF-Rendimiento Financiero'!A19,'[1]BC Balance Comprobación'!F:F)</f>
        <v>#VALUE!</v>
      </c>
      <c r="J19" s="38"/>
      <c r="K19" s="38" t="e">
        <f t="shared" si="0"/>
        <v>#VALUE!</v>
      </c>
      <c r="L19" s="45"/>
      <c r="N19" s="46"/>
    </row>
    <row r="20" spans="1:14" hidden="1" x14ac:dyDescent="0.25">
      <c r="A20" s="28" t="s">
        <v>276</v>
      </c>
      <c r="C20" s="29" t="s">
        <v>277</v>
      </c>
      <c r="F20" s="38" t="e">
        <f>SUMIF('[1]BC Balance Comprobación'!A:A,' ERF-Rendimiento Financiero'!A20,'[1]BC Balance Comprobación'!D:D)</f>
        <v>#VALUE!</v>
      </c>
      <c r="G20" s="38"/>
      <c r="H20" s="38" t="e">
        <f>SUMIF('[1]BC Balance Comprobación'!A:A,' ERF-Rendimiento Financiero'!A20,'[1]BC Balance Comprobación'!F:F)</f>
        <v>#VALUE!</v>
      </c>
      <c r="K20" s="38" t="e">
        <f t="shared" si="0"/>
        <v>#VALUE!</v>
      </c>
    </row>
    <row r="21" spans="1:14" ht="15.75" x14ac:dyDescent="0.25">
      <c r="C21" s="31" t="s">
        <v>278</v>
      </c>
      <c r="D21" s="31"/>
      <c r="E21" s="31"/>
      <c r="F21" s="41">
        <f>F14+F15+F16+F17</f>
        <v>17032345.860000003</v>
      </c>
      <c r="G21" s="41"/>
      <c r="H21" s="40" t="e">
        <f>SUM(H14:H20)</f>
        <v>#VALUE!</v>
      </c>
      <c r="J21" s="47"/>
      <c r="K21" s="38" t="e">
        <f t="shared" si="0"/>
        <v>#VALUE!</v>
      </c>
      <c r="L21" s="38"/>
    </row>
    <row r="22" spans="1:14" x14ac:dyDescent="0.25">
      <c r="F22" s="38"/>
      <c r="G22" s="38"/>
      <c r="H22" s="38"/>
      <c r="J22" s="47"/>
      <c r="K22" s="38">
        <f t="shared" si="0"/>
        <v>0</v>
      </c>
    </row>
    <row r="23" spans="1:14" hidden="1" x14ac:dyDescent="0.25">
      <c r="A23" s="28" t="s">
        <v>279</v>
      </c>
      <c r="C23" s="29" t="s">
        <v>280</v>
      </c>
      <c r="F23" s="38">
        <v>0</v>
      </c>
      <c r="G23" s="38"/>
      <c r="H23" s="38">
        <v>0</v>
      </c>
      <c r="K23" s="38">
        <f t="shared" si="0"/>
        <v>0</v>
      </c>
    </row>
    <row r="24" spans="1:14" hidden="1" x14ac:dyDescent="0.25">
      <c r="F24" s="38"/>
      <c r="G24" s="38"/>
      <c r="H24" s="38"/>
      <c r="K24" s="38">
        <f t="shared" si="0"/>
        <v>0</v>
      </c>
    </row>
    <row r="25" spans="1:14" hidden="1" x14ac:dyDescent="0.25">
      <c r="A25" s="28" t="s">
        <v>281</v>
      </c>
      <c r="C25" s="29" t="s">
        <v>282</v>
      </c>
      <c r="F25" s="38">
        <v>0</v>
      </c>
      <c r="G25" s="38"/>
      <c r="H25" s="38">
        <v>0</v>
      </c>
      <c r="K25" s="38">
        <f t="shared" si="0"/>
        <v>0</v>
      </c>
    </row>
    <row r="26" spans="1:14" ht="15.75" x14ac:dyDescent="0.25">
      <c r="C26" s="33"/>
      <c r="D26" s="33"/>
      <c r="E26" s="33"/>
      <c r="F26" s="35"/>
      <c r="G26" s="35"/>
      <c r="H26" s="35"/>
      <c r="J26" s="47"/>
    </row>
    <row r="27" spans="1:14" ht="16.5" thickBot="1" x14ac:dyDescent="0.3">
      <c r="C27" s="33" t="s">
        <v>283</v>
      </c>
      <c r="D27" s="33"/>
      <c r="E27" s="33"/>
      <c r="F27" s="48">
        <f>F11-F21</f>
        <v>-721568.36000000313</v>
      </c>
      <c r="G27" s="41"/>
      <c r="H27" s="48" t="e">
        <f>+H11-H21+H23+H25</f>
        <v>#VALUE!</v>
      </c>
      <c r="K27" s="38" t="e">
        <f>+F27+H27</f>
        <v>#VALUE!</v>
      </c>
    </row>
    <row r="28" spans="1:14" ht="16.5" thickTop="1" x14ac:dyDescent="0.25">
      <c r="C28" s="33"/>
      <c r="D28" s="33"/>
      <c r="E28" s="33"/>
      <c r="F28" s="35"/>
      <c r="G28" s="35"/>
      <c r="H28" s="35"/>
      <c r="J28" s="38"/>
    </row>
    <row r="29" spans="1:14" hidden="1" x14ac:dyDescent="0.25">
      <c r="F29" s="38"/>
      <c r="G29" s="38"/>
      <c r="H29" s="38"/>
      <c r="K29" s="38">
        <f>+F29+H29</f>
        <v>0</v>
      </c>
    </row>
    <row r="30" spans="1:14" hidden="1" x14ac:dyDescent="0.25">
      <c r="A30" s="28" t="s">
        <v>284</v>
      </c>
      <c r="C30" s="29" t="s">
        <v>285</v>
      </c>
      <c r="F30" s="38">
        <v>0</v>
      </c>
      <c r="G30" s="38"/>
      <c r="H30" s="38">
        <v>0</v>
      </c>
      <c r="K30" s="38">
        <f>+F30+H30</f>
        <v>0</v>
      </c>
    </row>
    <row r="31" spans="1:14" hidden="1" x14ac:dyDescent="0.25">
      <c r="A31" s="28" t="s">
        <v>286</v>
      </c>
      <c r="C31" s="29" t="s">
        <v>287</v>
      </c>
      <c r="F31" s="49">
        <v>0</v>
      </c>
      <c r="G31" s="49"/>
      <c r="H31" s="49">
        <v>0</v>
      </c>
      <c r="K31" s="38">
        <f>+F31+H31</f>
        <v>0</v>
      </c>
    </row>
    <row r="32" spans="1:14" ht="15.75" hidden="1" thickBot="1" x14ac:dyDescent="0.3">
      <c r="F32" s="50">
        <f>SUM(F30:F31)</f>
        <v>0</v>
      </c>
      <c r="G32" s="51"/>
      <c r="H32" s="50">
        <f>SUM(H30:H31)</f>
        <v>0</v>
      </c>
      <c r="K32" s="38">
        <f>+F32+H32</f>
        <v>0</v>
      </c>
    </row>
    <row r="33" spans="3:10" ht="15.75" hidden="1" x14ac:dyDescent="0.25">
      <c r="C33" s="33"/>
      <c r="D33" s="33"/>
      <c r="E33" s="33"/>
      <c r="F33" s="35"/>
      <c r="G33" s="35"/>
      <c r="H33" s="35"/>
    </row>
    <row r="34" spans="3:10" ht="15.75" x14ac:dyDescent="0.25">
      <c r="C34" s="181"/>
      <c r="D34" s="181"/>
      <c r="E34" s="181"/>
      <c r="F34" s="181"/>
      <c r="G34" s="181"/>
      <c r="H34" s="181"/>
    </row>
    <row r="35" spans="3:10" ht="15.75" hidden="1" x14ac:dyDescent="0.25">
      <c r="C35" s="33" t="s">
        <v>288</v>
      </c>
      <c r="D35" s="33"/>
      <c r="E35" s="33"/>
      <c r="F35" s="32"/>
      <c r="G35" s="32"/>
      <c r="H35" s="33"/>
    </row>
    <row r="36" spans="3:10" ht="15.75" x14ac:dyDescent="0.25">
      <c r="C36" s="32"/>
      <c r="D36" s="32"/>
      <c r="E36" s="32"/>
      <c r="F36" s="33"/>
      <c r="G36" s="33"/>
      <c r="H36" s="33"/>
    </row>
    <row r="37" spans="3:10" ht="15.75" x14ac:dyDescent="0.25">
      <c r="C37" s="32"/>
      <c r="D37" s="32"/>
      <c r="E37" s="32"/>
      <c r="F37" s="44"/>
      <c r="G37" s="33"/>
      <c r="H37" s="33"/>
    </row>
    <row r="38" spans="3:10" ht="15.75" x14ac:dyDescent="0.25">
      <c r="C38" s="32"/>
      <c r="D38" s="32"/>
      <c r="E38" s="32"/>
      <c r="F38" s="35"/>
      <c r="G38" s="33"/>
      <c r="H38" s="33"/>
    </row>
    <row r="39" spans="3:10" ht="15.75" x14ac:dyDescent="0.25">
      <c r="C39" s="32"/>
      <c r="D39" s="32"/>
      <c r="E39" s="32"/>
      <c r="F39" s="44"/>
      <c r="G39" s="33"/>
      <c r="H39" s="33"/>
      <c r="J39" s="42"/>
    </row>
    <row r="40" spans="3:10" ht="15.75" x14ac:dyDescent="0.25">
      <c r="C40" s="33"/>
      <c r="D40" s="33"/>
      <c r="E40" s="33"/>
      <c r="F40" s="33"/>
      <c r="G40" s="33"/>
      <c r="H40" s="33"/>
    </row>
    <row r="41" spans="3:10" ht="15.75" hidden="1" x14ac:dyDescent="0.25">
      <c r="C41" s="182" t="s">
        <v>289</v>
      </c>
      <c r="D41" s="182"/>
      <c r="E41" s="182"/>
      <c r="F41" s="182"/>
      <c r="G41" s="182"/>
      <c r="H41" s="182"/>
    </row>
    <row r="42" spans="3:10" ht="18.75" hidden="1" x14ac:dyDescent="0.25">
      <c r="C42" s="52"/>
      <c r="D42" s="52"/>
      <c r="E42" s="52"/>
      <c r="F42" s="52"/>
      <c r="G42" s="52"/>
      <c r="H42" s="52"/>
    </row>
    <row r="43" spans="3:10" ht="18.75" hidden="1" x14ac:dyDescent="0.25">
      <c r="C43" s="53"/>
      <c r="D43" s="53"/>
      <c r="E43" s="53"/>
      <c r="F43" s="53"/>
      <c r="G43" s="53"/>
      <c r="H43" s="53"/>
    </row>
    <row r="44" spans="3:10" ht="15.75" hidden="1" customHeight="1" x14ac:dyDescent="0.3">
      <c r="C44" s="182"/>
      <c r="D44" s="182"/>
      <c r="E44" s="182"/>
      <c r="F44" s="182"/>
      <c r="G44" s="182"/>
      <c r="H44" s="54"/>
    </row>
    <row r="45" spans="3:10" ht="18.75" x14ac:dyDescent="0.25">
      <c r="C45" s="178" t="s">
        <v>290</v>
      </c>
      <c r="D45" s="178"/>
      <c r="E45" s="178"/>
      <c r="F45" s="178"/>
      <c r="G45" s="31"/>
      <c r="H45" s="53"/>
    </row>
    <row r="46" spans="3:10" x14ac:dyDescent="0.25">
      <c r="C46" s="179" t="s">
        <v>291</v>
      </c>
      <c r="D46" s="179"/>
      <c r="E46" s="179"/>
      <c r="F46" s="179"/>
    </row>
  </sheetData>
  <autoFilter ref="A5:K35" xr:uid="{00000000-0009-0000-0000-00000B000000}">
    <filterColumn colId="10">
      <filters blank="1">
        <filter val="(3,672,141)"/>
        <filter val="122,500"/>
        <filter val="13,053,806"/>
        <filter val="16,229,694"/>
        <filter val="39,560,140"/>
        <filter val="530,095,938"/>
        <filter val="595,389,937"/>
        <filter val="599,062,078"/>
      </filters>
    </filterColumn>
  </autoFilter>
  <mergeCells count="8">
    <mergeCell ref="C45:F45"/>
    <mergeCell ref="C46:F46"/>
    <mergeCell ref="C1:H1"/>
    <mergeCell ref="C2:G2"/>
    <mergeCell ref="C3:H3"/>
    <mergeCell ref="C34:H34"/>
    <mergeCell ref="C41:H41"/>
    <mergeCell ref="C44:G44"/>
  </mergeCells>
  <printOptions horizontalCentered="1"/>
  <pageMargins left="0.74803149606299213" right="0.35433070866141736" top="1.2204724409448819" bottom="0.35433070866141736" header="0.31496062992125984" footer="0.31496062992125984"/>
  <pageSetup scale="80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B9EB4A-27F1-47EB-BDB4-E377BBA98BA9}">
  <sheetPr filterMode="1"/>
  <dimension ref="A1:AA88"/>
  <sheetViews>
    <sheetView tabSelected="1" view="pageBreakPreview" zoomScale="77" zoomScaleSheetLayoutView="77" workbookViewId="0">
      <selection sqref="A1:E1"/>
    </sheetView>
  </sheetViews>
  <sheetFormatPr baseColWidth="10" defaultColWidth="11.42578125" defaultRowHeight="18.75" x14ac:dyDescent="0.25"/>
  <cols>
    <col min="1" max="1" width="92.140625" style="53" customWidth="1"/>
    <col min="2" max="2" width="30.7109375" style="29" hidden="1" customWidth="1"/>
    <col min="3" max="3" width="21" style="53" customWidth="1"/>
    <col min="4" max="4" width="4.28515625" style="29" hidden="1" customWidth="1"/>
    <col min="5" max="5" width="21.140625" style="29" hidden="1" customWidth="1"/>
    <col min="6" max="6" width="2.7109375" style="29" hidden="1" customWidth="1"/>
    <col min="7" max="7" width="19.5703125" style="29" hidden="1" customWidth="1"/>
    <col min="8" max="8" width="12.5703125" style="29" hidden="1" customWidth="1"/>
    <col min="9" max="9" width="21.140625" style="29" hidden="1" customWidth="1"/>
    <col min="10" max="10" width="20.140625" style="29" hidden="1" customWidth="1"/>
    <col min="11" max="12" width="20.140625" style="30" hidden="1" customWidth="1"/>
    <col min="13" max="13" width="16.5703125" style="30" hidden="1" customWidth="1"/>
    <col min="14" max="14" width="20.140625" style="30" hidden="1" customWidth="1"/>
    <col min="15" max="15" width="17" style="30" hidden="1" customWidth="1"/>
    <col min="16" max="16" width="15.42578125" style="30" bestFit="1" customWidth="1"/>
    <col min="17" max="17" width="15.85546875" style="30" bestFit="1" customWidth="1"/>
    <col min="18" max="18" width="16.140625" style="30" bestFit="1" customWidth="1"/>
    <col min="19" max="19" width="52.5703125" style="30" bestFit="1" customWidth="1"/>
    <col min="20" max="23" width="11.42578125" style="30"/>
    <col min="24" max="24" width="15.85546875" style="30" bestFit="1" customWidth="1"/>
    <col min="25" max="25" width="11.42578125" style="30"/>
    <col min="26" max="26" width="15.85546875" style="30" bestFit="1" customWidth="1"/>
    <col min="27" max="27" width="13" style="30" bestFit="1" customWidth="1"/>
    <col min="28" max="16384" width="11.42578125" style="30"/>
  </cols>
  <sheetData>
    <row r="1" spans="1:17" ht="120.75" customHeight="1" x14ac:dyDescent="0.3">
      <c r="A1" s="187" t="str">
        <f>'[4]Flujo de Efectivo'!A2</f>
        <v>Estado de Flujo de Efectivo</v>
      </c>
      <c r="B1" s="185"/>
      <c r="C1" s="187"/>
      <c r="D1" s="185"/>
      <c r="E1" s="185"/>
      <c r="F1" s="53"/>
    </row>
    <row r="2" spans="1:17" x14ac:dyDescent="0.3">
      <c r="A2" s="187" t="s">
        <v>358</v>
      </c>
      <c r="B2" s="185"/>
      <c r="C2" s="187"/>
      <c r="D2" s="185"/>
      <c r="E2" s="185"/>
      <c r="F2" s="53"/>
    </row>
    <row r="3" spans="1:17" x14ac:dyDescent="0.3">
      <c r="A3" s="187" t="str">
        <f>'[4]Flujo de Efectivo'!A4</f>
        <v>(Valores en RD$)</v>
      </c>
      <c r="B3" s="185"/>
      <c r="C3" s="187"/>
      <c r="D3" s="185"/>
      <c r="E3" s="185"/>
      <c r="F3" s="53"/>
    </row>
    <row r="4" spans="1:17" ht="14.25" customHeight="1" thickBot="1" x14ac:dyDescent="0.3">
      <c r="A4" s="55"/>
      <c r="B4" s="55"/>
      <c r="C4" s="70"/>
      <c r="D4" s="70"/>
      <c r="E4" s="53"/>
      <c r="F4" s="53"/>
    </row>
    <row r="5" spans="1:17" ht="19.5" thickBot="1" x14ac:dyDescent="0.3">
      <c r="B5" s="53"/>
      <c r="C5" s="82">
        <f>+'[1]BC Balance Comprobación'!D11</f>
        <v>2022</v>
      </c>
      <c r="D5" s="82"/>
      <c r="E5" s="82">
        <f>+'[1]BC Balance Comprobación'!F11</f>
        <v>2021</v>
      </c>
      <c r="F5" s="53"/>
      <c r="G5" s="83">
        <v>44197</v>
      </c>
      <c r="I5" s="84">
        <v>44228</v>
      </c>
      <c r="J5" s="85">
        <v>44256</v>
      </c>
      <c r="K5" s="85">
        <v>44287</v>
      </c>
      <c r="L5" s="85">
        <v>44317</v>
      </c>
    </row>
    <row r="6" spans="1:17" x14ac:dyDescent="0.25">
      <c r="A6" s="86" t="s">
        <v>307</v>
      </c>
      <c r="B6" s="86"/>
      <c r="C6" s="87"/>
      <c r="D6" s="87"/>
      <c r="E6" s="88"/>
      <c r="F6" s="53"/>
      <c r="H6" s="38"/>
      <c r="J6" s="89"/>
      <c r="K6" s="89"/>
    </row>
    <row r="7" spans="1:17" customFormat="1" hidden="1" x14ac:dyDescent="0.3">
      <c r="A7" s="90" t="s">
        <v>308</v>
      </c>
      <c r="B7" s="90"/>
      <c r="C7" s="79">
        <v>0</v>
      </c>
      <c r="D7" s="79"/>
      <c r="E7" s="79">
        <v>0</v>
      </c>
      <c r="F7" s="62"/>
      <c r="G7" s="68"/>
      <c r="H7" s="79">
        <f t="shared" ref="H7:H14" si="0">+C7+E7</f>
        <v>0</v>
      </c>
      <c r="I7" s="62"/>
      <c r="J7" s="62"/>
    </row>
    <row r="8" spans="1:17" customFormat="1" hidden="1" x14ac:dyDescent="0.25">
      <c r="A8" s="90" t="s">
        <v>309</v>
      </c>
      <c r="B8" s="90"/>
      <c r="C8" s="79">
        <v>0</v>
      </c>
      <c r="D8" s="79"/>
      <c r="E8" s="79">
        <v>0</v>
      </c>
      <c r="F8" s="62"/>
      <c r="G8" s="91"/>
      <c r="H8" s="79">
        <f t="shared" si="0"/>
        <v>0</v>
      </c>
      <c r="I8" s="62"/>
      <c r="J8" s="62"/>
      <c r="O8" s="92">
        <v>97913476.890000001</v>
      </c>
      <c r="P8" s="92"/>
    </row>
    <row r="9" spans="1:17" customFormat="1" x14ac:dyDescent="0.3">
      <c r="A9" s="93" t="s">
        <v>310</v>
      </c>
      <c r="B9" s="68"/>
      <c r="C9" s="68">
        <v>625500</v>
      </c>
      <c r="D9" s="94"/>
      <c r="E9" s="68">
        <f>'[1]BC Balance Comprobación'!M37</f>
        <v>0</v>
      </c>
      <c r="F9" s="56"/>
      <c r="G9" s="68">
        <v>250000</v>
      </c>
      <c r="H9" s="79">
        <f t="shared" si="0"/>
        <v>625500</v>
      </c>
      <c r="I9" s="80">
        <f>-'[5]BC Balance Comprobación'!J37</f>
        <v>1430000</v>
      </c>
      <c r="J9" s="80">
        <v>925000</v>
      </c>
      <c r="K9" s="80">
        <v>5470000</v>
      </c>
      <c r="M9" s="95">
        <f>+G9+I9+J9+K9</f>
        <v>8075000</v>
      </c>
      <c r="O9" s="92">
        <v>96320160.819999993</v>
      </c>
      <c r="Q9" s="92"/>
    </row>
    <row r="10" spans="1:17" x14ac:dyDescent="0.25">
      <c r="A10" s="93" t="s">
        <v>311</v>
      </c>
      <c r="B10" s="91"/>
      <c r="C10" s="91">
        <v>15685277.5</v>
      </c>
      <c r="D10" s="96"/>
      <c r="E10" s="70">
        <f>'[1]BC Balance Comprobación'!M38</f>
        <v>0</v>
      </c>
      <c r="F10" s="53"/>
      <c r="G10" s="91">
        <v>12775551</v>
      </c>
      <c r="H10" s="38">
        <f t="shared" si="0"/>
        <v>15685277.5</v>
      </c>
      <c r="I10" s="80">
        <f>-'[5]BC Balance Comprobación'!J38</f>
        <v>22060869</v>
      </c>
      <c r="J10" s="80">
        <v>13121616.66</v>
      </c>
      <c r="K10" s="80">
        <v>18001583</v>
      </c>
      <c r="L10" s="80">
        <v>14704462</v>
      </c>
      <c r="M10" s="76">
        <f>+C10+G10+I10+J10+K10+L10</f>
        <v>96349359.159999996</v>
      </c>
      <c r="O10" s="97">
        <f>+O8-O9</f>
        <v>1593316.0700000077</v>
      </c>
      <c r="P10" s="98"/>
    </row>
    <row r="11" spans="1:17" customFormat="1" hidden="1" x14ac:dyDescent="0.25">
      <c r="A11" s="90" t="s">
        <v>312</v>
      </c>
      <c r="B11" s="90">
        <v>79000</v>
      </c>
      <c r="C11" s="99"/>
      <c r="D11" s="99"/>
      <c r="E11" s="79">
        <v>0</v>
      </c>
      <c r="F11" s="62"/>
      <c r="G11" s="99"/>
      <c r="H11" s="79">
        <f t="shared" si="0"/>
        <v>0</v>
      </c>
      <c r="I11" s="80"/>
      <c r="J11" s="62"/>
    </row>
    <row r="12" spans="1:17" customFormat="1" hidden="1" x14ac:dyDescent="0.3">
      <c r="A12" s="90" t="s">
        <v>313</v>
      </c>
      <c r="B12" s="90"/>
      <c r="C12" s="99">
        <v>0</v>
      </c>
      <c r="D12" s="99"/>
      <c r="E12" s="79"/>
      <c r="F12" s="62"/>
      <c r="G12" s="100"/>
      <c r="H12" s="79">
        <f t="shared" si="0"/>
        <v>0</v>
      </c>
      <c r="I12" s="80"/>
      <c r="J12" s="62"/>
    </row>
    <row r="13" spans="1:17" customFormat="1" hidden="1" x14ac:dyDescent="0.3">
      <c r="A13" s="90" t="s">
        <v>314</v>
      </c>
      <c r="B13" s="90">
        <v>-6923283.4199999999</v>
      </c>
      <c r="C13" s="99">
        <v>0</v>
      </c>
      <c r="D13" s="99"/>
      <c r="E13" s="79">
        <v>0</v>
      </c>
      <c r="F13" s="62"/>
      <c r="G13" s="68"/>
      <c r="H13" s="79">
        <f t="shared" si="0"/>
        <v>0</v>
      </c>
      <c r="I13" s="80"/>
      <c r="J13" s="62"/>
      <c r="K13" s="92"/>
      <c r="O13" s="95">
        <f>+M17+M18+M20</f>
        <v>-84824946.950000018</v>
      </c>
    </row>
    <row r="14" spans="1:17" customFormat="1" x14ac:dyDescent="0.3">
      <c r="A14" s="93" t="s">
        <v>315</v>
      </c>
      <c r="B14" s="100"/>
      <c r="C14" s="100"/>
      <c r="D14" s="101"/>
      <c r="E14" s="68">
        <f>'[1]BC Balance Comprobación'!M39</f>
        <v>0</v>
      </c>
      <c r="F14" s="56"/>
      <c r="G14" s="79"/>
      <c r="H14" s="79">
        <f t="shared" si="0"/>
        <v>0</v>
      </c>
      <c r="I14" s="80">
        <v>9000</v>
      </c>
      <c r="J14" s="80">
        <v>6000</v>
      </c>
      <c r="K14" s="80">
        <v>15000</v>
      </c>
      <c r="M14" s="95">
        <f>+I14+J14+K14</f>
        <v>30000</v>
      </c>
      <c r="O14" s="95">
        <f>+O8+O13-P8</f>
        <v>13088529.939999983</v>
      </c>
    </row>
    <row r="15" spans="1:17" customFormat="1" x14ac:dyDescent="0.3">
      <c r="A15" s="102"/>
      <c r="B15" s="68"/>
      <c r="C15" s="68"/>
      <c r="D15" s="94"/>
      <c r="E15" s="68"/>
      <c r="F15" s="56"/>
      <c r="G15" s="70"/>
      <c r="H15" s="79"/>
      <c r="I15" s="80"/>
      <c r="J15" s="62"/>
    </row>
    <row r="16" spans="1:17" customFormat="1" x14ac:dyDescent="0.3">
      <c r="A16" s="93" t="s">
        <v>316</v>
      </c>
      <c r="B16" s="90">
        <v>0</v>
      </c>
      <c r="C16" s="70">
        <v>-50000</v>
      </c>
      <c r="D16" s="79"/>
      <c r="E16" s="79">
        <v>0</v>
      </c>
      <c r="F16" s="62"/>
      <c r="G16" s="68"/>
      <c r="H16" s="79">
        <f t="shared" ref="H16:H23" si="1">+C16+E16</f>
        <v>-50000</v>
      </c>
      <c r="I16" s="80"/>
      <c r="J16" s="62"/>
    </row>
    <row r="17" spans="1:21" x14ac:dyDescent="0.3">
      <c r="A17" s="93" t="s">
        <v>317</v>
      </c>
      <c r="B17" s="70"/>
      <c r="C17" s="70">
        <v>-9268780.5</v>
      </c>
      <c r="D17" s="103"/>
      <c r="E17" s="70">
        <v>-83368429</v>
      </c>
      <c r="F17" s="53"/>
      <c r="G17" s="68">
        <v>-5376484.4800000004</v>
      </c>
      <c r="H17" s="38">
        <f t="shared" si="1"/>
        <v>-92637209.5</v>
      </c>
      <c r="I17" s="80">
        <v>-10647791.65</v>
      </c>
      <c r="J17" s="80">
        <v>-9167463.0500000007</v>
      </c>
      <c r="K17" s="80">
        <v>-8447211.75</v>
      </c>
      <c r="L17" s="80">
        <v>-7744007.1299999999</v>
      </c>
      <c r="M17" s="76">
        <f>+C17+G17+I17+J17+K17+L17</f>
        <v>-50651738.56000001</v>
      </c>
      <c r="Q17" s="63"/>
      <c r="R17" s="76"/>
      <c r="S17" s="76"/>
    </row>
    <row r="18" spans="1:21" customFormat="1" x14ac:dyDescent="0.3">
      <c r="A18" s="93" t="s">
        <v>318</v>
      </c>
      <c r="B18" s="68"/>
      <c r="C18" s="68">
        <v>-1255601.3700000001</v>
      </c>
      <c r="D18" s="94"/>
      <c r="E18" s="68">
        <v>-8951787</v>
      </c>
      <c r="F18" s="56"/>
      <c r="G18" s="68">
        <v>-698885.18</v>
      </c>
      <c r="H18" s="79">
        <f t="shared" si="1"/>
        <v>-10207388.370000001</v>
      </c>
      <c r="I18" s="80">
        <v>-1473063.08</v>
      </c>
      <c r="J18" s="80">
        <v>-1509455.22</v>
      </c>
      <c r="K18" s="80">
        <v>-1173946</v>
      </c>
      <c r="L18" s="80">
        <v>-1076106.99</v>
      </c>
      <c r="M18" s="104">
        <f>+C18+G18+J18+K18+L18</f>
        <v>-5713994.7600000007</v>
      </c>
      <c r="R18" s="73"/>
      <c r="S18" s="73"/>
    </row>
    <row r="19" spans="1:21" customFormat="1" hidden="1" x14ac:dyDescent="0.3">
      <c r="A19" s="90" t="s">
        <v>319</v>
      </c>
      <c r="B19" s="90"/>
      <c r="C19" s="68" t="e">
        <f>-'[1]BC Balance Comprobación'!V3</f>
        <v>#REF!</v>
      </c>
      <c r="D19" s="79"/>
      <c r="E19" s="79">
        <v>0</v>
      </c>
      <c r="F19" s="62"/>
      <c r="G19" s="79"/>
      <c r="H19" s="79" t="e">
        <f t="shared" si="1"/>
        <v>#REF!</v>
      </c>
      <c r="I19" s="80">
        <v>0</v>
      </c>
      <c r="J19" s="80">
        <v>0</v>
      </c>
      <c r="K19" s="80">
        <v>0</v>
      </c>
      <c r="L19" s="80">
        <v>0</v>
      </c>
      <c r="S19" s="73"/>
    </row>
    <row r="20" spans="1:21" x14ac:dyDescent="0.3">
      <c r="A20" s="93" t="s">
        <v>320</v>
      </c>
      <c r="B20" s="70"/>
      <c r="C20" s="68">
        <v>-4392327.1500000004</v>
      </c>
      <c r="D20" s="103"/>
      <c r="E20" s="70">
        <v>-60758429</v>
      </c>
      <c r="F20" s="53"/>
      <c r="G20" s="79">
        <v>-65427</v>
      </c>
      <c r="H20" s="38">
        <f t="shared" si="1"/>
        <v>-65150756.149999999</v>
      </c>
      <c r="I20" s="80">
        <v>-7392769.4500000002</v>
      </c>
      <c r="J20" s="80">
        <v>-4770136.2300000004</v>
      </c>
      <c r="K20" s="80">
        <v>-8662082.6600000001</v>
      </c>
      <c r="L20" s="80">
        <v>-3176471.1399999997</v>
      </c>
      <c r="M20" s="63">
        <f>+C20+G20+I20+J20+K20+L20</f>
        <v>-28459213.630000003</v>
      </c>
      <c r="P20" s="63"/>
      <c r="R20" s="63"/>
    </row>
    <row r="21" spans="1:21" customFormat="1" hidden="1" x14ac:dyDescent="0.25">
      <c r="A21" s="90" t="s">
        <v>321</v>
      </c>
      <c r="B21" s="90"/>
      <c r="C21" s="79">
        <v>0</v>
      </c>
      <c r="D21" s="79"/>
      <c r="E21" s="79">
        <v>0</v>
      </c>
      <c r="F21" s="62"/>
      <c r="G21" s="70"/>
      <c r="H21" s="79">
        <f t="shared" si="1"/>
        <v>0</v>
      </c>
      <c r="I21" s="80"/>
      <c r="J21" s="62"/>
      <c r="Q21" s="73"/>
    </row>
    <row r="22" spans="1:21" customFormat="1" hidden="1" x14ac:dyDescent="0.25">
      <c r="A22" s="90" t="s">
        <v>322</v>
      </c>
      <c r="B22" s="90">
        <v>-288795</v>
      </c>
      <c r="C22" s="79">
        <v>0</v>
      </c>
      <c r="D22" s="79"/>
      <c r="E22" s="79">
        <v>0</v>
      </c>
      <c r="F22" s="62"/>
      <c r="G22" s="70"/>
      <c r="H22" s="79">
        <f t="shared" si="1"/>
        <v>0</v>
      </c>
      <c r="I22" s="80"/>
      <c r="J22" s="62"/>
      <c r="M22" s="104"/>
      <c r="S22" s="73"/>
    </row>
    <row r="23" spans="1:21" x14ac:dyDescent="0.25">
      <c r="A23" s="93" t="s">
        <v>323</v>
      </c>
      <c r="B23" s="70"/>
      <c r="C23" s="70"/>
      <c r="D23" s="103"/>
      <c r="E23" s="70">
        <v>-8548025</v>
      </c>
      <c r="F23" s="105"/>
      <c r="G23" s="70"/>
      <c r="H23" s="38">
        <f t="shared" si="1"/>
        <v>-8548025</v>
      </c>
      <c r="I23" s="80"/>
      <c r="U23" s="63"/>
    </row>
    <row r="24" spans="1:21" x14ac:dyDescent="0.25">
      <c r="A24" s="93"/>
      <c r="B24" s="70"/>
      <c r="C24" s="70"/>
      <c r="D24" s="103"/>
      <c r="E24" s="70"/>
      <c r="F24" s="105"/>
      <c r="G24" s="103"/>
      <c r="H24" s="38"/>
      <c r="I24" s="80"/>
    </row>
    <row r="25" spans="1:21" ht="24.75" customHeight="1" x14ac:dyDescent="0.3">
      <c r="A25" s="93" t="s">
        <v>324</v>
      </c>
      <c r="B25" s="70"/>
      <c r="C25" s="70">
        <v>127600</v>
      </c>
      <c r="D25" s="103"/>
      <c r="E25" s="70"/>
      <c r="F25" s="105"/>
      <c r="G25" s="68"/>
      <c r="H25" s="38"/>
      <c r="I25" s="80"/>
      <c r="Q25" s="97"/>
    </row>
    <row r="26" spans="1:21" x14ac:dyDescent="0.25">
      <c r="A26" s="106" t="s">
        <v>325</v>
      </c>
      <c r="B26" s="103"/>
      <c r="C26" s="103">
        <f>SUBTOTAL(9,C9:C25)</f>
        <v>1471668.4799999995</v>
      </c>
      <c r="D26" s="103"/>
      <c r="E26" s="103">
        <f t="shared" ref="E26:L26" si="2">SUM(E7:E25)</f>
        <v>-161626670</v>
      </c>
      <c r="F26" s="103">
        <f t="shared" si="2"/>
        <v>0</v>
      </c>
      <c r="G26" s="103">
        <f t="shared" si="2"/>
        <v>6884754.3399999999</v>
      </c>
      <c r="H26" s="103" t="e">
        <f t="shared" si="2"/>
        <v>#REF!</v>
      </c>
      <c r="I26" s="103">
        <f t="shared" si="2"/>
        <v>3986244.8199999994</v>
      </c>
      <c r="J26" s="103">
        <f t="shared" si="2"/>
        <v>-1394437.8400000008</v>
      </c>
      <c r="K26" s="103">
        <f t="shared" si="2"/>
        <v>5203342.59</v>
      </c>
      <c r="L26" s="103">
        <f t="shared" si="2"/>
        <v>2707876.74</v>
      </c>
      <c r="P26" s="63"/>
      <c r="Q26" s="97"/>
    </row>
    <row r="27" spans="1:21" x14ac:dyDescent="0.3">
      <c r="A27" s="53" t="s">
        <v>261</v>
      </c>
      <c r="B27" s="70"/>
      <c r="C27" s="70"/>
      <c r="D27" s="103"/>
      <c r="E27" s="70"/>
      <c r="F27" s="53"/>
      <c r="G27" s="68"/>
      <c r="H27" s="29" t="s">
        <v>326</v>
      </c>
      <c r="I27" s="80"/>
      <c r="J27" s="107"/>
      <c r="P27" s="63"/>
      <c r="Q27" s="97"/>
    </row>
    <row r="28" spans="1:21" x14ac:dyDescent="0.25">
      <c r="A28" s="55" t="s">
        <v>327</v>
      </c>
      <c r="B28" s="108"/>
      <c r="C28" s="108"/>
      <c r="D28" s="109"/>
      <c r="E28" s="103"/>
      <c r="F28" s="53"/>
      <c r="G28" s="103"/>
      <c r="H28" s="38"/>
      <c r="I28" s="80"/>
    </row>
    <row r="29" spans="1:21" customFormat="1" hidden="1" x14ac:dyDescent="0.25">
      <c r="A29" s="90" t="s">
        <v>328</v>
      </c>
      <c r="B29" s="90">
        <v>44585</v>
      </c>
      <c r="C29" s="79">
        <v>0</v>
      </c>
      <c r="D29" s="79"/>
      <c r="E29" s="79">
        <v>0</v>
      </c>
      <c r="F29" s="62"/>
      <c r="G29" s="70">
        <v>-67114.9375</v>
      </c>
      <c r="H29" s="79">
        <f>+C29+E29</f>
        <v>0</v>
      </c>
      <c r="I29" s="80">
        <v>-460985.64999999997</v>
      </c>
      <c r="J29" s="80">
        <v>-2046096.781</v>
      </c>
      <c r="K29" s="70">
        <v>-1106252.8999999999</v>
      </c>
      <c r="L29" s="80">
        <v>-1989590.89</v>
      </c>
    </row>
    <row r="30" spans="1:21" customFormat="1" hidden="1" x14ac:dyDescent="0.25">
      <c r="A30" s="90" t="s">
        <v>329</v>
      </c>
      <c r="B30" s="90"/>
      <c r="C30" s="79">
        <v>0</v>
      </c>
      <c r="D30" s="79"/>
      <c r="E30" s="79">
        <v>0</v>
      </c>
      <c r="F30" s="62"/>
      <c r="G30" s="103"/>
      <c r="H30" s="79">
        <f>+C30+E30</f>
        <v>0</v>
      </c>
      <c r="I30" s="80"/>
      <c r="J30" s="62"/>
    </row>
    <row r="31" spans="1:21" customFormat="1" hidden="1" x14ac:dyDescent="0.25">
      <c r="A31" s="90" t="s">
        <v>330</v>
      </c>
      <c r="B31" s="90">
        <v>44585</v>
      </c>
      <c r="C31" s="79">
        <v>0</v>
      </c>
      <c r="D31" s="79"/>
      <c r="E31" s="79">
        <v>0</v>
      </c>
      <c r="F31" s="62"/>
      <c r="G31" s="79"/>
      <c r="H31" s="79">
        <f>+C31+E31</f>
        <v>0</v>
      </c>
      <c r="I31" s="110"/>
      <c r="J31" s="62"/>
    </row>
    <row r="32" spans="1:21" customFormat="1" hidden="1" x14ac:dyDescent="0.25">
      <c r="A32" s="90" t="s">
        <v>331</v>
      </c>
      <c r="B32" s="90"/>
      <c r="C32" s="79">
        <v>0</v>
      </c>
      <c r="D32" s="79"/>
      <c r="E32" s="79">
        <v>0</v>
      </c>
      <c r="F32" s="62"/>
      <c r="G32" s="79"/>
      <c r="H32" s="79">
        <f>+C32+E32</f>
        <v>0</v>
      </c>
      <c r="I32" s="70"/>
      <c r="J32" s="62"/>
    </row>
    <row r="33" spans="1:27" customFormat="1" hidden="1" x14ac:dyDescent="0.25">
      <c r="A33" s="90" t="s">
        <v>332</v>
      </c>
      <c r="B33" s="90">
        <v>3746146.709999999</v>
      </c>
      <c r="C33" s="79">
        <v>0</v>
      </c>
      <c r="D33" s="79"/>
      <c r="E33" s="79">
        <v>0</v>
      </c>
      <c r="F33" s="62"/>
      <c r="G33" s="79"/>
      <c r="H33" s="79">
        <f>+C33+E33</f>
        <v>0</v>
      </c>
      <c r="I33" s="103"/>
      <c r="J33" s="62"/>
    </row>
    <row r="34" spans="1:27" customFormat="1" hidden="1" x14ac:dyDescent="0.3">
      <c r="A34" s="93" t="s">
        <v>315</v>
      </c>
      <c r="B34" s="111"/>
      <c r="C34" s="70"/>
      <c r="D34" s="112"/>
      <c r="E34" s="68">
        <v>2699113</v>
      </c>
      <c r="F34" s="56"/>
      <c r="G34" s="79"/>
      <c r="H34" s="79" t="e">
        <f>+#REF!+E34</f>
        <v>#REF!</v>
      </c>
      <c r="I34" s="95"/>
      <c r="J34" s="62"/>
      <c r="Q34" s="95"/>
      <c r="S34" s="95"/>
    </row>
    <row r="35" spans="1:27" customFormat="1" x14ac:dyDescent="0.3">
      <c r="A35" s="102"/>
      <c r="B35" s="68"/>
      <c r="C35" s="68"/>
      <c r="D35" s="94"/>
      <c r="E35" s="68"/>
      <c r="F35" s="56"/>
      <c r="G35" s="70"/>
      <c r="H35" s="79"/>
      <c r="I35" s="79"/>
      <c r="J35" s="113"/>
      <c r="Q35" s="95"/>
      <c r="R35" s="95"/>
    </row>
    <row r="36" spans="1:27" x14ac:dyDescent="0.25">
      <c r="A36" s="93" t="s">
        <v>333</v>
      </c>
      <c r="B36" s="70"/>
      <c r="C36" s="70">
        <v>109400.08000000002</v>
      </c>
      <c r="D36" s="103"/>
      <c r="E36" s="70">
        <v>-12714328.18</v>
      </c>
      <c r="F36" s="53"/>
      <c r="H36" s="38">
        <f t="shared" ref="H36:H42" si="3">+C36+E36</f>
        <v>-12604928.1</v>
      </c>
      <c r="I36" s="79"/>
      <c r="J36" s="38"/>
      <c r="P36" s="63"/>
      <c r="Q36" s="76"/>
      <c r="R36" s="76"/>
      <c r="S36" s="114"/>
    </row>
    <row r="37" spans="1:27" ht="15" hidden="1" x14ac:dyDescent="0.25">
      <c r="A37" s="90" t="s">
        <v>334</v>
      </c>
      <c r="B37" s="90"/>
      <c r="C37" s="38"/>
      <c r="D37" s="38"/>
      <c r="E37" s="38"/>
      <c r="H37" s="38">
        <f t="shared" si="3"/>
        <v>0</v>
      </c>
      <c r="I37" s="79"/>
      <c r="R37" s="76">
        <v>7903734.4300000006</v>
      </c>
    </row>
    <row r="38" spans="1:27" customFormat="1" ht="15" hidden="1" x14ac:dyDescent="0.25">
      <c r="A38" s="90" t="s">
        <v>335</v>
      </c>
      <c r="B38" s="90"/>
      <c r="C38" s="79"/>
      <c r="D38" s="79"/>
      <c r="E38" s="79">
        <v>0</v>
      </c>
      <c r="F38" s="62"/>
      <c r="G38" s="29"/>
      <c r="H38" s="79">
        <f t="shared" si="3"/>
        <v>0</v>
      </c>
      <c r="I38" s="29"/>
      <c r="J38" s="62"/>
    </row>
    <row r="39" spans="1:27" customFormat="1" ht="15" hidden="1" x14ac:dyDescent="0.25">
      <c r="A39" s="90" t="s">
        <v>336</v>
      </c>
      <c r="B39" s="90"/>
      <c r="C39" s="79">
        <v>0</v>
      </c>
      <c r="D39" s="79"/>
      <c r="E39" s="79">
        <v>0</v>
      </c>
      <c r="F39" s="62"/>
      <c r="G39" s="29"/>
      <c r="H39" s="79">
        <f t="shared" si="3"/>
        <v>0</v>
      </c>
      <c r="I39" s="29"/>
      <c r="J39" s="62"/>
    </row>
    <row r="40" spans="1:27" customFormat="1" hidden="1" x14ac:dyDescent="0.25">
      <c r="A40" s="90" t="s">
        <v>337</v>
      </c>
      <c r="B40" s="90"/>
      <c r="C40" s="79">
        <v>0</v>
      </c>
      <c r="D40" s="79"/>
      <c r="E40" s="79">
        <v>0</v>
      </c>
      <c r="F40" s="62"/>
      <c r="G40" s="29"/>
      <c r="H40" s="79">
        <f t="shared" si="3"/>
        <v>0</v>
      </c>
      <c r="I40" s="80"/>
      <c r="J40" s="62"/>
    </row>
    <row r="41" spans="1:27" customFormat="1" x14ac:dyDescent="0.25">
      <c r="A41" s="93" t="s">
        <v>338</v>
      </c>
      <c r="B41" s="90"/>
      <c r="C41" s="70"/>
      <c r="D41" s="79"/>
      <c r="E41" s="79">
        <v>0</v>
      </c>
      <c r="F41" s="62"/>
      <c r="G41" s="29"/>
      <c r="H41" s="79">
        <f t="shared" si="3"/>
        <v>0</v>
      </c>
      <c r="I41" s="29"/>
      <c r="J41" s="62"/>
      <c r="S41" s="114"/>
    </row>
    <row r="42" spans="1:27" customFormat="1" ht="20.25" hidden="1" x14ac:dyDescent="0.3">
      <c r="A42" s="115" t="s">
        <v>339</v>
      </c>
      <c r="B42" s="68"/>
      <c r="C42" s="116"/>
      <c r="D42" s="94"/>
      <c r="E42" s="68">
        <v>-1029719</v>
      </c>
      <c r="F42" s="117"/>
      <c r="G42" s="29"/>
      <c r="H42" s="79">
        <f t="shared" si="3"/>
        <v>-1029719</v>
      </c>
      <c r="I42" s="29"/>
      <c r="J42" s="62"/>
      <c r="S42" s="95"/>
    </row>
    <row r="43" spans="1:27" customFormat="1" x14ac:dyDescent="0.3">
      <c r="A43" s="53"/>
      <c r="B43" s="68"/>
      <c r="C43" s="68"/>
      <c r="D43" s="94"/>
      <c r="E43" s="68"/>
      <c r="F43" s="117"/>
      <c r="G43" s="103"/>
      <c r="H43" s="79"/>
      <c r="I43" s="29"/>
      <c r="J43" s="62"/>
    </row>
    <row r="44" spans="1:27" x14ac:dyDescent="0.25">
      <c r="A44" s="106" t="s">
        <v>340</v>
      </c>
      <c r="B44" s="103"/>
      <c r="C44" s="103">
        <f>SUM(C29:C43)</f>
        <v>109400.08000000002</v>
      </c>
      <c r="D44" s="103"/>
      <c r="E44" s="103">
        <f t="shared" ref="E44:L44" si="4">SUM(E29:E43)</f>
        <v>-11044934.18</v>
      </c>
      <c r="F44" s="103">
        <f t="shared" si="4"/>
        <v>0</v>
      </c>
      <c r="G44" s="103">
        <f t="shared" si="4"/>
        <v>-67114.9375</v>
      </c>
      <c r="H44" s="103" t="e">
        <f t="shared" si="4"/>
        <v>#REF!</v>
      </c>
      <c r="I44" s="103">
        <f t="shared" si="4"/>
        <v>-460985.64999999997</v>
      </c>
      <c r="J44" s="103">
        <f t="shared" si="4"/>
        <v>-2046096.781</v>
      </c>
      <c r="K44" s="103">
        <f t="shared" si="4"/>
        <v>-1106252.8999999999</v>
      </c>
      <c r="L44" s="103">
        <f t="shared" si="4"/>
        <v>-1989590.89</v>
      </c>
    </row>
    <row r="45" spans="1:27" x14ac:dyDescent="0.25">
      <c r="B45" s="70"/>
      <c r="C45" s="70"/>
      <c r="D45" s="103"/>
      <c r="E45" s="70"/>
      <c r="F45" s="53"/>
      <c r="G45" s="70"/>
      <c r="J45" s="47"/>
      <c r="X45" s="97"/>
      <c r="Z45" s="97"/>
      <c r="AA45" s="76"/>
    </row>
    <row r="46" spans="1:27" customFormat="1" ht="21" x14ac:dyDescent="0.25">
      <c r="A46" s="118" t="s">
        <v>341</v>
      </c>
      <c r="B46" s="103"/>
      <c r="C46" s="103"/>
      <c r="D46" s="103"/>
      <c r="E46" s="70"/>
      <c r="F46" s="53"/>
      <c r="G46" s="119"/>
      <c r="H46" s="38">
        <f>+C46+E46</f>
        <v>0</v>
      </c>
      <c r="I46" s="103"/>
      <c r="J46" s="47"/>
      <c r="X46" s="92"/>
      <c r="Z46" s="92"/>
      <c r="AA46" s="92"/>
    </row>
    <row r="47" spans="1:27" customFormat="1" x14ac:dyDescent="0.3">
      <c r="A47" s="102" t="s">
        <v>342</v>
      </c>
      <c r="B47" s="90"/>
      <c r="C47" s="120">
        <v>1751053.6400000239</v>
      </c>
      <c r="D47" s="79"/>
      <c r="E47" s="79">
        <v>0</v>
      </c>
      <c r="F47" s="62"/>
      <c r="G47" s="79">
        <v>6100158.8799999999</v>
      </c>
      <c r="H47">
        <f>+C47+E47</f>
        <v>1751053.6400000239</v>
      </c>
      <c r="I47" s="95">
        <v>4301473.09</v>
      </c>
      <c r="J47" s="95">
        <v>1193664.42</v>
      </c>
      <c r="K47" s="95">
        <v>881693.84</v>
      </c>
      <c r="L47" s="113">
        <v>509254.51</v>
      </c>
      <c r="M47" s="95">
        <f>+G47+I47+J47+K47</f>
        <v>12476990.229999999</v>
      </c>
      <c r="P47" s="95"/>
      <c r="Q47" s="95"/>
      <c r="R47" s="92"/>
    </row>
    <row r="48" spans="1:27" customFormat="1" ht="15" hidden="1" x14ac:dyDescent="0.25">
      <c r="A48" s="90" t="s">
        <v>343</v>
      </c>
      <c r="B48" s="90"/>
      <c r="C48" s="79"/>
      <c r="D48" s="79"/>
      <c r="E48" s="79">
        <v>0</v>
      </c>
      <c r="F48" s="62"/>
      <c r="H48">
        <f>+C48+E48</f>
        <v>0</v>
      </c>
      <c r="J48" s="62"/>
      <c r="K48" s="95"/>
      <c r="L48" s="92"/>
      <c r="O48" s="95">
        <f>+C53+O53</f>
        <v>-5142475.3599999975</v>
      </c>
      <c r="Q48" s="95"/>
    </row>
    <row r="49" spans="1:21" customFormat="1" ht="15" hidden="1" x14ac:dyDescent="0.25">
      <c r="A49" s="90" t="s">
        <v>344</v>
      </c>
      <c r="B49" s="90"/>
      <c r="C49" s="79"/>
      <c r="D49" s="79"/>
      <c r="E49" s="79">
        <v>0</v>
      </c>
      <c r="F49" s="62"/>
      <c r="G49" s="79">
        <v>-14298087</v>
      </c>
      <c r="H49">
        <f>+C49+E49</f>
        <v>0</v>
      </c>
      <c r="J49" s="62"/>
      <c r="L49" s="92"/>
    </row>
    <row r="50" spans="1:21" customFormat="1" ht="15" hidden="1" x14ac:dyDescent="0.25">
      <c r="A50" s="121" t="s">
        <v>345</v>
      </c>
      <c r="B50" s="90"/>
      <c r="C50" s="79"/>
      <c r="D50" s="79"/>
      <c r="E50" s="79">
        <v>0</v>
      </c>
      <c r="F50" s="62"/>
      <c r="H50">
        <f>+C50+E50</f>
        <v>0</v>
      </c>
      <c r="J50" s="62"/>
      <c r="L50" s="92"/>
      <c r="P50" s="95"/>
      <c r="R50" s="95"/>
    </row>
    <row r="51" spans="1:21" customFormat="1" ht="16.5" hidden="1" customHeight="1" x14ac:dyDescent="0.3">
      <c r="A51" s="93" t="s">
        <v>315</v>
      </c>
      <c r="B51" s="68"/>
      <c r="C51" s="70"/>
      <c r="D51" s="94"/>
      <c r="E51" s="68">
        <v>0</v>
      </c>
      <c r="F51" s="56"/>
      <c r="H51">
        <f>+G58+E51</f>
        <v>0</v>
      </c>
      <c r="J51" s="62"/>
      <c r="K51" s="73"/>
      <c r="L51" s="92"/>
      <c r="Q51" s="92"/>
    </row>
    <row r="52" spans="1:21" customFormat="1" hidden="1" x14ac:dyDescent="0.3">
      <c r="A52" s="102"/>
      <c r="B52" s="68"/>
      <c r="C52" s="29"/>
      <c r="D52" s="94"/>
      <c r="E52" s="68"/>
      <c r="F52" s="56"/>
      <c r="G52" s="79"/>
      <c r="H52" s="79"/>
      <c r="I52" s="79"/>
      <c r="J52" s="62"/>
      <c r="L52" s="92"/>
      <c r="Q52" s="92"/>
      <c r="R52" s="95"/>
      <c r="U52" s="92"/>
    </row>
    <row r="53" spans="1:21" customFormat="1" x14ac:dyDescent="0.25">
      <c r="A53" s="93" t="s">
        <v>346</v>
      </c>
      <c r="B53" s="90"/>
      <c r="C53" s="81"/>
      <c r="D53" s="79"/>
      <c r="E53" s="79">
        <v>0</v>
      </c>
      <c r="F53" s="62"/>
      <c r="G53" s="62"/>
      <c r="H53" s="79">
        <f>+G60+E53</f>
        <v>0</v>
      </c>
      <c r="I53" s="80">
        <v>-9090236.3200000003</v>
      </c>
      <c r="J53" s="80">
        <v>-4217299.88</v>
      </c>
      <c r="K53" s="80">
        <v>-7616653.459999999</v>
      </c>
      <c r="L53" s="42">
        <v>-873386.32</v>
      </c>
      <c r="M53" s="95">
        <f>+C53+I53+J53+K53+L53</f>
        <v>-21797575.979999997</v>
      </c>
      <c r="N53" s="80">
        <v>16655100.619999999</v>
      </c>
      <c r="O53" s="95">
        <f>+M53+N53</f>
        <v>-5142475.3599999975</v>
      </c>
      <c r="P53" s="95"/>
      <c r="R53" s="95"/>
    </row>
    <row r="54" spans="1:21" customFormat="1" ht="37.5" hidden="1" x14ac:dyDescent="0.25">
      <c r="A54" s="93" t="s">
        <v>347</v>
      </c>
      <c r="B54" s="90"/>
      <c r="C54" s="81"/>
      <c r="D54" s="79"/>
      <c r="E54" s="79">
        <v>0</v>
      </c>
      <c r="F54" s="62"/>
      <c r="G54" s="62"/>
      <c r="H54" s="79">
        <f>+G61+E54</f>
        <v>-1380288.7175000003</v>
      </c>
      <c r="I54" s="113"/>
      <c r="J54" s="62"/>
      <c r="L54" s="92"/>
    </row>
    <row r="55" spans="1:21" customFormat="1" hidden="1" x14ac:dyDescent="0.25">
      <c r="A55" s="93" t="s">
        <v>348</v>
      </c>
      <c r="B55" s="90"/>
      <c r="C55" s="53"/>
      <c r="D55" s="79"/>
      <c r="E55" s="79">
        <v>0</v>
      </c>
      <c r="F55" s="62"/>
      <c r="G55" s="62"/>
      <c r="H55" s="79">
        <f>+G62+E55</f>
        <v>20979065.719999999</v>
      </c>
      <c r="I55" s="62"/>
      <c r="J55" s="62"/>
      <c r="L55" s="92"/>
      <c r="O55" s="122">
        <v>-478574.57</v>
      </c>
      <c r="Q55" s="92"/>
      <c r="R55" s="38"/>
      <c r="S55" s="73"/>
    </row>
    <row r="56" spans="1:21" customFormat="1" hidden="1" x14ac:dyDescent="0.25">
      <c r="A56" s="93" t="s">
        <v>349</v>
      </c>
      <c r="B56" s="90"/>
      <c r="C56" s="53"/>
      <c r="D56" s="79"/>
      <c r="E56" s="79">
        <v>0</v>
      </c>
      <c r="F56" s="62"/>
      <c r="G56" s="62"/>
      <c r="H56" s="79">
        <f>+G63+E56</f>
        <v>19598777.002499998</v>
      </c>
      <c r="I56" s="113"/>
      <c r="J56" s="62"/>
      <c r="L56" s="92"/>
      <c r="O56" s="75">
        <f>+O53-O55</f>
        <v>-4663900.7899999972</v>
      </c>
    </row>
    <row r="57" spans="1:21" customFormat="1" hidden="1" x14ac:dyDescent="0.25">
      <c r="A57" s="93" t="s">
        <v>350</v>
      </c>
      <c r="B57" s="90"/>
      <c r="C57" s="53"/>
      <c r="D57" s="79"/>
      <c r="E57" s="79">
        <v>0</v>
      </c>
      <c r="F57" s="62"/>
      <c r="G57" s="62"/>
      <c r="H57" s="79">
        <f>+G65+E57</f>
        <v>0</v>
      </c>
      <c r="I57" s="79"/>
      <c r="J57" s="62"/>
      <c r="L57" s="92"/>
      <c r="M57" s="95"/>
      <c r="N57" s="95"/>
    </row>
    <row r="58" spans="1:21" customFormat="1" x14ac:dyDescent="0.25">
      <c r="A58" s="93" t="s">
        <v>339</v>
      </c>
      <c r="B58" s="90"/>
      <c r="C58" s="53"/>
      <c r="D58" s="79"/>
      <c r="E58" s="79">
        <v>0</v>
      </c>
      <c r="F58" s="123"/>
      <c r="G58" s="124"/>
      <c r="H58" s="79" t="e">
        <f>+G66+E58</f>
        <v>#VALUE!</v>
      </c>
      <c r="I58" s="62"/>
      <c r="J58" s="62"/>
    </row>
    <row r="59" spans="1:21" customFormat="1" x14ac:dyDescent="0.3">
      <c r="A59" s="125" t="s">
        <v>351</v>
      </c>
      <c r="B59" s="103"/>
      <c r="C59" s="103">
        <f>SUM(C47:C58)</f>
        <v>1751053.6400000239</v>
      </c>
      <c r="D59" s="103"/>
      <c r="E59" s="103">
        <f t="shared" ref="E59:L59" si="5">SUM(E47:E58)</f>
        <v>0</v>
      </c>
      <c r="F59" s="103">
        <f t="shared" si="5"/>
        <v>0</v>
      </c>
      <c r="G59" s="103">
        <f t="shared" si="5"/>
        <v>-8197928.1200000001</v>
      </c>
      <c r="H59" s="103" t="e">
        <f t="shared" si="5"/>
        <v>#VALUE!</v>
      </c>
      <c r="I59" s="103">
        <f t="shared" si="5"/>
        <v>-4788763.2300000004</v>
      </c>
      <c r="J59" s="103">
        <f t="shared" si="5"/>
        <v>-3023635.46</v>
      </c>
      <c r="K59" s="103">
        <f t="shared" si="5"/>
        <v>-6734959.6199999992</v>
      </c>
      <c r="L59" s="103">
        <f t="shared" si="5"/>
        <v>-364131.80999999994</v>
      </c>
    </row>
    <row r="60" spans="1:21" customFormat="1" x14ac:dyDescent="0.3">
      <c r="A60" s="56"/>
      <c r="B60" s="68"/>
      <c r="C60" s="68"/>
      <c r="D60" s="94"/>
      <c r="E60" s="68"/>
      <c r="F60" s="56"/>
      <c r="G60" s="79"/>
      <c r="H60" s="79" t="s">
        <v>326</v>
      </c>
      <c r="I60" s="79"/>
      <c r="J60" s="62"/>
    </row>
    <row r="61" spans="1:21" x14ac:dyDescent="0.25">
      <c r="A61" s="53" t="s">
        <v>352</v>
      </c>
      <c r="B61" s="70"/>
      <c r="C61" s="70">
        <f>+C26+C44+C59</f>
        <v>3332122.2000000235</v>
      </c>
      <c r="D61" s="70">
        <f>+D26+D44+D59</f>
        <v>0</v>
      </c>
      <c r="E61" s="70">
        <f>+E26+E44+E59</f>
        <v>-172671604.18000001</v>
      </c>
      <c r="F61" s="70">
        <f>+F26+F44+F59</f>
        <v>0</v>
      </c>
      <c r="G61" s="70">
        <f>+G26+G44+G59</f>
        <v>-1380288.7175000003</v>
      </c>
      <c r="H61" s="38">
        <f>+C61+E61</f>
        <v>-169339481.97999999</v>
      </c>
      <c r="I61" s="70">
        <f>+I26+I44+I59</f>
        <v>-1263504.060000001</v>
      </c>
      <c r="J61" s="70">
        <f>+J26+J44+J59</f>
        <v>-6464170.0810000002</v>
      </c>
      <c r="K61" s="70">
        <f>+K26+K44+K59</f>
        <v>-2637869.9299999992</v>
      </c>
      <c r="L61" s="70">
        <f>+L26+L44+L59</f>
        <v>354154.04000000039</v>
      </c>
    </row>
    <row r="62" spans="1:21" ht="23.25" x14ac:dyDescent="0.25">
      <c r="A62" s="53" t="s">
        <v>353</v>
      </c>
      <c r="B62" s="119"/>
      <c r="C62" s="119">
        <v>8026274.2699999958</v>
      </c>
      <c r="D62" s="126"/>
      <c r="E62" s="119">
        <v>5853191.9199999999</v>
      </c>
      <c r="F62" s="53"/>
      <c r="G62" s="119">
        <v>20979065.719999999</v>
      </c>
      <c r="H62" s="38">
        <f>+C62+E62</f>
        <v>13879466.189999996</v>
      </c>
      <c r="I62" s="119">
        <v>19598777</v>
      </c>
      <c r="J62" s="119">
        <v>18335272.939999998</v>
      </c>
      <c r="K62" s="119">
        <v>11871103</v>
      </c>
      <c r="L62" s="119">
        <v>9233233</v>
      </c>
    </row>
    <row r="63" spans="1:21" ht="19.5" thickBot="1" x14ac:dyDescent="0.3">
      <c r="A63" s="53" t="s">
        <v>354</v>
      </c>
      <c r="B63" s="127"/>
      <c r="C63" s="127">
        <f>SUM(C61:C62)</f>
        <v>11358396.470000019</v>
      </c>
      <c r="D63" s="103"/>
      <c r="E63" s="127">
        <f>SUM(E61:E62)</f>
        <v>-166818412.26000002</v>
      </c>
      <c r="F63" s="53"/>
      <c r="G63" s="127">
        <f>SUM(G61:G62)</f>
        <v>19598777.002499998</v>
      </c>
      <c r="H63" s="38">
        <f>+C63+E63</f>
        <v>-155460015.78999999</v>
      </c>
      <c r="I63" s="127">
        <f>SUM(I61:I62)</f>
        <v>18335272.939999998</v>
      </c>
      <c r="J63" s="127">
        <f>SUM(J61:J62)</f>
        <v>11871102.858999997</v>
      </c>
      <c r="K63" s="127">
        <f>SUM(K61:K62)</f>
        <v>9233233.0700000003</v>
      </c>
      <c r="L63" s="127">
        <f>SUM(L61:L62)</f>
        <v>9587387.040000001</v>
      </c>
    </row>
    <row r="64" spans="1:21" ht="19.5" thickTop="1" x14ac:dyDescent="0.25">
      <c r="B64" s="103"/>
      <c r="C64" s="103"/>
      <c r="D64" s="103"/>
      <c r="E64" s="103"/>
      <c r="F64" s="53"/>
      <c r="G64" s="103"/>
      <c r="H64" s="38"/>
      <c r="I64" s="103"/>
      <c r="J64" s="103"/>
      <c r="K64" s="103"/>
      <c r="L64" s="103"/>
    </row>
    <row r="65" spans="1:13" x14ac:dyDescent="0.25">
      <c r="B65" s="53"/>
      <c r="C65" s="88"/>
      <c r="D65" s="88"/>
      <c r="E65" s="88"/>
      <c r="F65" s="53"/>
      <c r="G65" s="79"/>
      <c r="H65" s="29" t="s">
        <v>326</v>
      </c>
      <c r="I65" s="38"/>
    </row>
    <row r="66" spans="1:13" ht="21" hidden="1" x14ac:dyDescent="0.25">
      <c r="A66" s="128" t="s">
        <v>288</v>
      </c>
      <c r="B66" s="128"/>
      <c r="C66" s="70"/>
      <c r="D66" s="53"/>
      <c r="E66" s="70"/>
      <c r="F66" s="53"/>
      <c r="G66" s="119" t="s">
        <v>355</v>
      </c>
      <c r="M66" s="63">
        <f>+K62-J63</f>
        <v>0.14100000262260437</v>
      </c>
    </row>
    <row r="67" spans="1:13" x14ac:dyDescent="0.25">
      <c r="A67" s="185" t="s">
        <v>290</v>
      </c>
      <c r="B67" s="185"/>
      <c r="C67" s="185"/>
      <c r="D67" s="53"/>
      <c r="E67" s="53"/>
      <c r="F67" s="53"/>
      <c r="G67" s="38"/>
      <c r="I67" s="38" t="e">
        <f>+C63-G66</f>
        <v>#VALUE!</v>
      </c>
    </row>
    <row r="68" spans="1:13" x14ac:dyDescent="0.25">
      <c r="A68" s="183" t="s">
        <v>291</v>
      </c>
      <c r="B68" s="183"/>
      <c r="C68" s="183"/>
      <c r="D68" s="53"/>
      <c r="E68" s="53"/>
      <c r="F68" s="53"/>
      <c r="I68" s="42"/>
    </row>
    <row r="69" spans="1:13" hidden="1" x14ac:dyDescent="0.25">
      <c r="A69" s="184" t="s">
        <v>356</v>
      </c>
      <c r="B69" s="184"/>
      <c r="C69" s="184"/>
      <c r="D69" s="184"/>
      <c r="E69" s="184"/>
      <c r="F69" s="53"/>
      <c r="I69" s="38"/>
    </row>
    <row r="70" spans="1:13" hidden="1" x14ac:dyDescent="0.25">
      <c r="B70" s="53"/>
      <c r="D70" s="53"/>
      <c r="E70" s="53"/>
      <c r="F70" s="53"/>
      <c r="I70" s="91"/>
    </row>
    <row r="71" spans="1:13" hidden="1" x14ac:dyDescent="0.25">
      <c r="B71" s="53"/>
      <c r="D71" s="53"/>
      <c r="E71" s="53"/>
      <c r="F71" s="53"/>
      <c r="I71" s="42"/>
    </row>
    <row r="72" spans="1:13" ht="18.75" hidden="1" customHeight="1" x14ac:dyDescent="0.25">
      <c r="A72" s="186"/>
      <c r="B72" s="184"/>
      <c r="C72" s="186"/>
      <c r="D72" s="93"/>
      <c r="E72" s="93"/>
      <c r="F72" s="93"/>
    </row>
    <row r="73" spans="1:13" hidden="1" x14ac:dyDescent="0.25">
      <c r="B73" s="53"/>
      <c r="D73" s="53"/>
      <c r="E73" s="53"/>
      <c r="F73" s="53"/>
    </row>
    <row r="78" spans="1:13" x14ac:dyDescent="0.25">
      <c r="C78" s="81"/>
      <c r="D78" s="129"/>
      <c r="E78" s="130"/>
    </row>
    <row r="79" spans="1:13" x14ac:dyDescent="0.25">
      <c r="C79" s="81"/>
      <c r="D79" s="129"/>
      <c r="E79" s="130"/>
    </row>
    <row r="80" spans="1:13" x14ac:dyDescent="0.25">
      <c r="C80" s="81"/>
      <c r="D80" s="129"/>
      <c r="E80" s="130"/>
    </row>
    <row r="81" spans="3:5" x14ac:dyDescent="0.25">
      <c r="C81" s="81"/>
      <c r="D81" s="129"/>
      <c r="E81" s="130"/>
    </row>
    <row r="82" spans="3:5" x14ac:dyDescent="0.25">
      <c r="C82" s="81"/>
      <c r="D82" s="129"/>
      <c r="E82" s="130"/>
    </row>
    <row r="83" spans="3:5" x14ac:dyDescent="0.25">
      <c r="C83" s="81"/>
      <c r="D83" s="129"/>
      <c r="E83" s="130"/>
    </row>
    <row r="84" spans="3:5" x14ac:dyDescent="0.25">
      <c r="C84" s="81"/>
      <c r="D84" s="129"/>
      <c r="E84" s="130"/>
    </row>
    <row r="85" spans="3:5" x14ac:dyDescent="0.25">
      <c r="C85" s="81"/>
      <c r="D85" s="129"/>
      <c r="E85" s="130"/>
    </row>
    <row r="86" spans="3:5" x14ac:dyDescent="0.25">
      <c r="C86" s="81"/>
      <c r="D86" s="129"/>
      <c r="E86" s="130"/>
    </row>
    <row r="87" spans="3:5" x14ac:dyDescent="0.25">
      <c r="C87" s="81"/>
      <c r="D87" s="129"/>
      <c r="E87" s="130"/>
    </row>
    <row r="88" spans="3:5" x14ac:dyDescent="0.25">
      <c r="C88" s="81"/>
      <c r="D88" s="129"/>
      <c r="E88" s="130"/>
    </row>
  </sheetData>
  <autoFilter ref="A5:H66" xr:uid="{00000000-0009-0000-0000-00000D000000}">
    <filterColumn colId="7">
      <filters>
        <filter val="(122,500)"/>
        <filter val="(23,559,824)"/>
        <filter val="(32,360,443)"/>
        <filter val="(32,908,765)"/>
        <filter val="(45,688,507)"/>
        <filter val="(484,407,431)"/>
        <filter val="(8,800,619)"/>
        <filter val="(97,709)"/>
        <filter val="*"/>
        <filter val="32,262,734"/>
        <filter val="433,037"/>
        <filter val="530,746"/>
        <filter val="595,389,937"/>
      </filters>
    </filterColumn>
  </autoFilter>
  <mergeCells count="7">
    <mergeCell ref="A72:C72"/>
    <mergeCell ref="A1:E1"/>
    <mergeCell ref="A2:E2"/>
    <mergeCell ref="A3:E3"/>
    <mergeCell ref="A67:C67"/>
    <mergeCell ref="A68:C68"/>
    <mergeCell ref="A69:E69"/>
  </mergeCells>
  <printOptions horizontalCentered="1"/>
  <pageMargins left="0.70866141732283472" right="0.70866141732283472" top="0.84" bottom="0.74803149606299213" header="0.31496062992125984" footer="0.31496062992125984"/>
  <pageSetup scale="73" fitToHeight="2" orientation="portrait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F9CAC2-02F8-4FAB-91F8-582FF08F1328}">
  <sheetPr filterMode="1"/>
  <dimension ref="A2:N30"/>
  <sheetViews>
    <sheetView view="pageBreakPreview" zoomScale="75" zoomScaleSheetLayoutView="75" workbookViewId="0">
      <selection activeCell="H13" sqref="H13:H19"/>
    </sheetView>
  </sheetViews>
  <sheetFormatPr baseColWidth="10" defaultColWidth="11.42578125" defaultRowHeight="15" x14ac:dyDescent="0.25"/>
  <cols>
    <col min="1" max="1" width="3.7109375" style="29" customWidth="1"/>
    <col min="2" max="2" width="1.28515625" style="29" customWidth="1"/>
    <col min="3" max="3" width="48" style="29" customWidth="1"/>
    <col min="4" max="4" width="19.28515625" style="62" customWidth="1"/>
    <col min="5" max="5" width="16.5703125" style="62" customWidth="1"/>
    <col min="6" max="6" width="19.140625" style="62" customWidth="1"/>
    <col min="7" max="7" width="18.85546875" style="29" customWidth="1"/>
    <col min="8" max="8" width="19.42578125" style="29" customWidth="1"/>
    <col min="9" max="9" width="17.42578125" style="29" customWidth="1"/>
    <col min="10" max="10" width="18.140625" style="30" customWidth="1"/>
    <col min="11" max="11" width="20" style="30" customWidth="1"/>
    <col min="12" max="12" width="14.85546875" style="30" bestFit="1" customWidth="1"/>
    <col min="13" max="13" width="24" style="30" customWidth="1"/>
    <col min="14" max="14" width="15.42578125" style="30" bestFit="1" customWidth="1"/>
    <col min="15" max="16384" width="11.42578125" style="30"/>
  </cols>
  <sheetData>
    <row r="2" spans="1:13" ht="18.75" x14ac:dyDescent="0.25">
      <c r="B2" s="185"/>
      <c r="C2" s="185"/>
      <c r="D2" s="185"/>
      <c r="E2" s="185"/>
      <c r="F2" s="185"/>
      <c r="G2" s="185"/>
      <c r="H2" s="185"/>
    </row>
    <row r="3" spans="1:13" ht="18.75" x14ac:dyDescent="0.25">
      <c r="B3" s="185" t="s">
        <v>292</v>
      </c>
      <c r="C3" s="185"/>
      <c r="D3" s="185"/>
      <c r="E3" s="185"/>
      <c r="F3" s="185"/>
      <c r="G3" s="185"/>
      <c r="H3" s="185"/>
    </row>
    <row r="4" spans="1:13" ht="18.75" x14ac:dyDescent="0.25">
      <c r="B4" s="185" t="s">
        <v>358</v>
      </c>
      <c r="C4" s="185"/>
      <c r="D4" s="185"/>
      <c r="E4" s="185"/>
      <c r="F4" s="185"/>
      <c r="G4" s="185"/>
      <c r="H4" s="185"/>
    </row>
    <row r="5" spans="1:13" ht="18.75" x14ac:dyDescent="0.25">
      <c r="B5" s="185" t="s">
        <v>7</v>
      </c>
      <c r="C5" s="185"/>
      <c r="D5" s="185"/>
      <c r="E5" s="185"/>
      <c r="F5" s="185"/>
      <c r="G5" s="185"/>
      <c r="H5" s="185"/>
    </row>
    <row r="6" spans="1:13" ht="18.75" x14ac:dyDescent="0.3">
      <c r="B6" s="53"/>
      <c r="C6" s="55"/>
      <c r="D6" s="56"/>
      <c r="E6" s="56"/>
      <c r="F6" s="56"/>
      <c r="G6" s="53"/>
      <c r="H6" s="53"/>
    </row>
    <row r="7" spans="1:13" ht="56.25" x14ac:dyDescent="0.25">
      <c r="B7" s="53"/>
      <c r="C7" s="57"/>
      <c r="D7" s="58" t="s">
        <v>293</v>
      </c>
      <c r="E7" s="58" t="s">
        <v>294</v>
      </c>
      <c r="F7" s="58" t="s">
        <v>295</v>
      </c>
      <c r="G7" s="58" t="s">
        <v>296</v>
      </c>
      <c r="H7" s="58" t="s">
        <v>297</v>
      </c>
    </row>
    <row r="8" spans="1:13" ht="18.75" x14ac:dyDescent="0.3">
      <c r="B8" s="53"/>
      <c r="C8" s="57" t="s">
        <v>298</v>
      </c>
      <c r="D8" s="59">
        <v>51695326</v>
      </c>
      <c r="E8" s="60">
        <v>0</v>
      </c>
      <c r="F8" s="60">
        <v>0</v>
      </c>
      <c r="G8" s="61">
        <v>26974241.190000001</v>
      </c>
      <c r="H8" s="61">
        <f>SUM(D8,E8,F8,G8)</f>
        <v>78669567.189999998</v>
      </c>
      <c r="I8" s="38"/>
    </row>
    <row r="9" spans="1:13" customFormat="1" ht="18.75" x14ac:dyDescent="0.3">
      <c r="A9" s="62"/>
      <c r="B9" s="56"/>
      <c r="C9" s="57" t="s">
        <v>299</v>
      </c>
      <c r="D9" s="60"/>
      <c r="E9" s="60">
        <v>0</v>
      </c>
      <c r="F9" s="60"/>
      <c r="G9" s="60"/>
      <c r="H9" s="60">
        <f>SUM(D9,E9,F9,G9)</f>
        <v>0</v>
      </c>
      <c r="I9" s="62"/>
    </row>
    <row r="10" spans="1:13" customFormat="1" ht="18.75" x14ac:dyDescent="0.3">
      <c r="A10" s="62"/>
      <c r="B10" s="56"/>
      <c r="C10" s="57" t="s">
        <v>300</v>
      </c>
      <c r="D10" s="60"/>
      <c r="E10" s="60"/>
      <c r="F10" s="60" t="s">
        <v>261</v>
      </c>
      <c r="G10" s="60"/>
      <c r="H10" s="60"/>
      <c r="I10" s="62"/>
    </row>
    <row r="11" spans="1:13" ht="18.75" x14ac:dyDescent="0.3">
      <c r="B11" s="53"/>
      <c r="C11" s="57" t="s">
        <v>301</v>
      </c>
      <c r="D11" s="59"/>
      <c r="E11" s="60"/>
      <c r="F11" s="60"/>
      <c r="G11" s="61"/>
      <c r="H11" s="61"/>
      <c r="I11" s="38"/>
      <c r="J11" s="63"/>
    </row>
    <row r="12" spans="1:13" ht="18.75" x14ac:dyDescent="0.3">
      <c r="B12" s="53"/>
      <c r="C12" s="57" t="s">
        <v>72</v>
      </c>
      <c r="D12" s="59"/>
      <c r="E12" s="60"/>
      <c r="F12" s="60"/>
      <c r="G12" s="61">
        <v>-8419224.5899999999</v>
      </c>
      <c r="H12" s="61">
        <f>SUM(D12,E12,F12,G12)</f>
        <v>-8419224.5899999999</v>
      </c>
      <c r="I12" s="38"/>
    </row>
    <row r="13" spans="1:13" ht="18.75" x14ac:dyDescent="0.3">
      <c r="B13" s="53"/>
      <c r="C13" s="57" t="s">
        <v>302</v>
      </c>
      <c r="D13" s="64">
        <f>SUM(D8:D12)</f>
        <v>51695326</v>
      </c>
      <c r="E13" s="64">
        <f>SUM(E8:E12)</f>
        <v>0</v>
      </c>
      <c r="F13" s="64">
        <f>SUM(F8:F12)</f>
        <v>0</v>
      </c>
      <c r="G13" s="65">
        <f>SUM(G8:G12)</f>
        <v>18555016.600000001</v>
      </c>
      <c r="H13" s="65">
        <f>SUM(H8:H12)</f>
        <v>70250342.599999994</v>
      </c>
      <c r="I13" s="38"/>
      <c r="K13" s="63"/>
      <c r="M13" s="63"/>
    </row>
    <row r="14" spans="1:13" ht="18.75" hidden="1" x14ac:dyDescent="0.3">
      <c r="B14" s="53"/>
      <c r="C14" s="66" t="s">
        <v>261</v>
      </c>
      <c r="D14" s="67">
        <f>SUM(D9:D13)</f>
        <v>51695326</v>
      </c>
      <c r="E14" s="68"/>
      <c r="F14" s="69"/>
      <c r="G14" s="70">
        <v>39052659</v>
      </c>
      <c r="H14" s="71">
        <f>D14+F14+G14</f>
        <v>90747985</v>
      </c>
      <c r="I14" s="38"/>
      <c r="J14" s="63"/>
      <c r="K14" s="63"/>
    </row>
    <row r="15" spans="1:13" customFormat="1" ht="18.75" x14ac:dyDescent="0.3">
      <c r="A15" s="62"/>
      <c r="B15" s="56"/>
      <c r="C15" s="72" t="s">
        <v>299</v>
      </c>
      <c r="D15" s="60"/>
      <c r="E15" s="60">
        <v>0</v>
      </c>
      <c r="F15" s="60"/>
      <c r="G15" s="60"/>
      <c r="H15" s="60">
        <f>SUM(D15,E15,F15,G15)</f>
        <v>0</v>
      </c>
      <c r="I15" s="62"/>
      <c r="K15" s="73"/>
      <c r="M15" s="73"/>
    </row>
    <row r="16" spans="1:13" customFormat="1" ht="18.75" x14ac:dyDescent="0.3">
      <c r="A16" s="62"/>
      <c r="B16" s="56"/>
      <c r="C16" s="72" t="s">
        <v>300</v>
      </c>
      <c r="D16" s="60"/>
      <c r="E16" s="60"/>
      <c r="F16" s="60">
        <v>0</v>
      </c>
      <c r="G16" s="60"/>
      <c r="H16" s="60">
        <f>SUM(D16,E16,F16,G16)</f>
        <v>0</v>
      </c>
      <c r="I16" s="62"/>
    </row>
    <row r="17" spans="1:14" customFormat="1" ht="37.5" x14ac:dyDescent="0.3">
      <c r="A17" s="62"/>
      <c r="B17" s="56"/>
      <c r="C17" s="74" t="s">
        <v>303</v>
      </c>
      <c r="D17" s="60"/>
      <c r="E17" s="60"/>
      <c r="F17" s="60">
        <v>0</v>
      </c>
      <c r="G17" s="60"/>
      <c r="H17" s="60">
        <f>SUM(D17,E17,F17,G17)</f>
        <v>0</v>
      </c>
      <c r="I17" s="38"/>
      <c r="J17" s="75"/>
      <c r="K17" s="73"/>
    </row>
    <row r="18" spans="1:14" ht="18.75" x14ac:dyDescent="0.3">
      <c r="B18" s="53"/>
      <c r="C18" s="72" t="s">
        <v>301</v>
      </c>
      <c r="D18" s="60"/>
      <c r="E18" s="60"/>
      <c r="F18" s="60"/>
      <c r="G18" s="61">
        <v>-1201105</v>
      </c>
      <c r="H18" s="60">
        <f>SUM(D18,E18,F18,G18)</f>
        <v>-1201105</v>
      </c>
      <c r="I18" s="38"/>
      <c r="J18" s="76"/>
      <c r="K18" s="63"/>
      <c r="N18" s="77"/>
    </row>
    <row r="19" spans="1:14" ht="18.75" x14ac:dyDescent="0.3">
      <c r="B19" s="53"/>
      <c r="C19" s="72" t="s">
        <v>72</v>
      </c>
      <c r="D19" s="60"/>
      <c r="E19" s="60"/>
      <c r="F19" s="60"/>
      <c r="G19" s="61">
        <f>' ERF-Rendimiento Financiero'!F27</f>
        <v>-721568.36000000313</v>
      </c>
      <c r="H19" s="61">
        <f>SUM(D19,E19,F19,G19)</f>
        <v>-721568.36000000313</v>
      </c>
      <c r="J19" s="76"/>
      <c r="K19" s="77"/>
      <c r="L19" s="77"/>
    </row>
    <row r="20" spans="1:14" ht="18.75" x14ac:dyDescent="0.25">
      <c r="B20" s="55"/>
      <c r="C20" s="78" t="s">
        <v>398</v>
      </c>
      <c r="D20" s="65">
        <f>D14+D18</f>
        <v>51695326</v>
      </c>
      <c r="E20" s="65">
        <f>SUM(E19,E13)</f>
        <v>0</v>
      </c>
      <c r="F20" s="65">
        <f>SUM(F19,F13)</f>
        <v>0</v>
      </c>
      <c r="G20" s="65">
        <f>G13+G15+G16+G17+G18+G19</f>
        <v>16632343.239999998</v>
      </c>
      <c r="H20" s="65">
        <f>H13+H15+H16+H17+H18+H19</f>
        <v>68327669.239999995</v>
      </c>
      <c r="K20" s="63"/>
      <c r="M20" s="63"/>
    </row>
    <row r="21" spans="1:14" ht="18.75" x14ac:dyDescent="0.3">
      <c r="B21" s="55"/>
      <c r="C21" s="53"/>
      <c r="D21" s="68"/>
      <c r="E21" s="68"/>
      <c r="F21" s="68"/>
      <c r="G21" s="70"/>
      <c r="H21" s="70"/>
      <c r="I21" s="38"/>
      <c r="K21" s="63"/>
    </row>
    <row r="22" spans="1:14" ht="18.75" x14ac:dyDescent="0.25">
      <c r="B22" s="53"/>
      <c r="C22" s="53"/>
      <c r="D22" s="53"/>
      <c r="E22" s="53"/>
      <c r="F22" s="53"/>
      <c r="G22" s="53"/>
      <c r="H22" s="79"/>
      <c r="I22" s="42"/>
      <c r="J22" s="63"/>
      <c r="L22" s="63"/>
    </row>
    <row r="23" spans="1:14" ht="18.75" hidden="1" x14ac:dyDescent="0.3">
      <c r="B23" s="53"/>
      <c r="C23" s="53" t="s">
        <v>304</v>
      </c>
      <c r="D23" s="53"/>
      <c r="E23" s="53"/>
      <c r="F23" s="56"/>
      <c r="G23" s="70"/>
      <c r="H23" s="80"/>
    </row>
    <row r="24" spans="1:14" ht="18.75" x14ac:dyDescent="0.3">
      <c r="B24" s="53"/>
      <c r="C24" s="53"/>
      <c r="D24" s="56"/>
      <c r="E24" s="56"/>
      <c r="F24" s="56"/>
      <c r="G24" s="70"/>
      <c r="H24" s="53"/>
    </row>
    <row r="25" spans="1:14" ht="18.75" x14ac:dyDescent="0.3">
      <c r="B25" s="53"/>
      <c r="C25" s="53"/>
      <c r="D25" s="56"/>
      <c r="E25" s="56"/>
      <c r="F25" s="56"/>
      <c r="G25" s="70"/>
      <c r="H25" s="81"/>
    </row>
    <row r="26" spans="1:14" ht="18.75" hidden="1" x14ac:dyDescent="0.25">
      <c r="B26" s="53"/>
      <c r="C26" s="184" t="s">
        <v>289</v>
      </c>
      <c r="D26" s="184"/>
      <c r="E26" s="184"/>
      <c r="F26" s="184"/>
      <c r="G26" s="184"/>
      <c r="H26" s="184"/>
    </row>
    <row r="27" spans="1:14" ht="18.75" x14ac:dyDescent="0.25">
      <c r="A27" s="185" t="s">
        <v>290</v>
      </c>
      <c r="B27" s="185"/>
      <c r="C27" s="185"/>
      <c r="D27" s="185"/>
      <c r="E27" s="185"/>
      <c r="F27" s="185"/>
      <c r="G27" s="185"/>
      <c r="H27" s="185"/>
      <c r="I27" s="185"/>
    </row>
    <row r="28" spans="1:14" ht="18.75" x14ac:dyDescent="0.25">
      <c r="A28" s="183" t="s">
        <v>291</v>
      </c>
      <c r="B28" s="183"/>
      <c r="C28" s="183"/>
      <c r="D28" s="183"/>
      <c r="E28" s="183"/>
      <c r="F28" s="183"/>
      <c r="G28" s="183"/>
      <c r="H28" s="183"/>
      <c r="I28" s="183"/>
    </row>
    <row r="29" spans="1:14" ht="18.75" hidden="1" x14ac:dyDescent="0.3">
      <c r="B29" s="53"/>
      <c r="C29" s="184" t="s">
        <v>305</v>
      </c>
      <c r="D29" s="184"/>
      <c r="E29" s="56"/>
      <c r="F29" s="56"/>
      <c r="G29" s="184" t="s">
        <v>306</v>
      </c>
      <c r="H29" s="184"/>
    </row>
    <row r="30" spans="1:14" ht="18.75" x14ac:dyDescent="0.3">
      <c r="B30" s="53"/>
      <c r="C30" s="53"/>
      <c r="D30" s="56"/>
      <c r="E30" s="56"/>
      <c r="F30" s="56"/>
      <c r="G30" s="53"/>
      <c r="H30" s="53"/>
    </row>
  </sheetData>
  <autoFilter ref="C7:I23" xr:uid="{00000000-0009-0000-0000-00000C000000}">
    <filterColumn colId="5">
      <filters blank="1">
        <filter val="(1,752,041)"/>
        <filter val="(1,920,100)"/>
        <filter val="1,953,658"/>
        <filter val="26,907,664"/>
        <filter val="27,109,281"/>
        <filter val="28,827,764"/>
      </filters>
    </filterColumn>
  </autoFilter>
  <mergeCells count="9">
    <mergeCell ref="A28:I28"/>
    <mergeCell ref="C29:D29"/>
    <mergeCell ref="G29:H29"/>
    <mergeCell ref="B2:H2"/>
    <mergeCell ref="B3:H3"/>
    <mergeCell ref="B4:H4"/>
    <mergeCell ref="B5:H5"/>
    <mergeCell ref="C26:H26"/>
    <mergeCell ref="A27:I27"/>
  </mergeCells>
  <printOptions horizontalCentered="1"/>
  <pageMargins left="0.44" right="0.35433070866141736" top="1.4173228346456694" bottom="0.35433070866141736" header="0.31496062992125984" footer="0.31496062992125984"/>
  <pageSetup scale="72" orientation="landscape" horizontalDpi="300" verticalDpi="300" r:id="rId1"/>
  <rowBreaks count="1" manualBreakCount="1">
    <brk id="31" min="1" max="12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MAYO</vt:lpstr>
      <vt:lpstr>BC Balance Comprobación</vt:lpstr>
      <vt:lpstr> ERF-Rendimiento Financiero</vt:lpstr>
      <vt:lpstr>EFE-Flujo de Efectivo</vt:lpstr>
      <vt:lpstr>ECANP-Cambio Patrimonio</vt:lpstr>
      <vt:lpstr>' ERF-Rendimiento Financiero'!Área_de_impresión</vt:lpstr>
      <vt:lpstr>'BC Balance Comprobación'!Área_de_impresión</vt:lpstr>
      <vt:lpstr>'ECANP-Cambio Patrimonio'!Área_de_impresión</vt:lpstr>
      <vt:lpstr>'EFE-Flujo de Efectivo'!Área_de_impresión</vt:lpstr>
      <vt:lpstr>'BC Balance Comprobación'!Títulos_a_imprimir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Usuario</cp:lastModifiedBy>
  <dcterms:created xsi:type="dcterms:W3CDTF">2022-06-08T16:13:13Z</dcterms:created>
  <dcterms:modified xsi:type="dcterms:W3CDTF">2022-06-10T18:20:55Z</dcterms:modified>
</cp:coreProperties>
</file>